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0 - Wohnhaus\2_Strom\Solaranlage\Auswertung\Excel\"/>
    </mc:Choice>
  </mc:AlternateContent>
  <xr:revisionPtr revIDLastSave="0" documentId="13_ncr:1_{8A80A066-FAA6-4C76-9376-C270C4DD8A97}" xr6:coauthVersionLast="47" xr6:coauthVersionMax="47" xr10:uidLastSave="{00000000-0000-0000-0000-000000000000}"/>
  <bookViews>
    <workbookView xWindow="28680" yWindow="1365" windowWidth="29040" windowHeight="17790" activeTab="1" xr2:uid="{512899B6-6A67-4CA9-BD6A-1EF40023D8B2}"/>
  </bookViews>
  <sheets>
    <sheet name="Grunddaten" sheetId="5" r:id="rId1"/>
    <sheet name="Dateneingabe" sheetId="1" r:id="rId2"/>
    <sheet name="Soll-Ist" sheetId="4" r:id="rId3"/>
    <sheet name="Wirtschaftlichkeit" sheetId="2" r:id="rId4"/>
    <sheet name="Auswertung" sheetId="3" r:id="rId5"/>
    <sheet name="Hilfstabelle" sheetId="6" r:id="rId6"/>
  </sheets>
  <definedNames>
    <definedName name="_xlnm.Print_Area" localSheetId="4">Auswertung!$B$1:$P$27,Auswertung!$A$28:$P$76</definedName>
    <definedName name="_xlnm.Print_Area" localSheetId="1">Dateneingabe!$A$1:$P$35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4" l="1"/>
  <c r="B4" i="2"/>
  <c r="B29" i="2"/>
  <c r="E8" i="2"/>
  <c r="B1" i="1"/>
  <c r="B4" i="1"/>
  <c r="B34" i="1"/>
  <c r="E7" i="4"/>
  <c r="E8" i="4"/>
  <c r="E9" i="4"/>
  <c r="E10" i="4"/>
  <c r="E11" i="4"/>
  <c r="E12" i="4"/>
  <c r="E13" i="4"/>
  <c r="E14" i="4"/>
  <c r="E15" i="4"/>
  <c r="E16" i="4"/>
  <c r="E17" i="4"/>
  <c r="E6" i="4"/>
  <c r="H17" i="4"/>
  <c r="D7" i="4"/>
  <c r="D8" i="4"/>
  <c r="D9" i="4"/>
  <c r="D10" i="4"/>
  <c r="D11" i="4"/>
  <c r="D12" i="4"/>
  <c r="D13" i="4"/>
  <c r="D14" i="4"/>
  <c r="D15" i="4"/>
  <c r="D16" i="4"/>
  <c r="D17" i="4"/>
  <c r="D6" i="4"/>
  <c r="C4" i="6"/>
  <c r="C5" i="6"/>
  <c r="C6" i="6"/>
  <c r="C7" i="6"/>
  <c r="C8" i="6"/>
  <c r="C9" i="6"/>
  <c r="C10" i="6"/>
  <c r="C11" i="6"/>
  <c r="C12" i="6"/>
  <c r="C13" i="6"/>
  <c r="C14" i="6"/>
  <c r="C3" i="6"/>
  <c r="D33" i="1"/>
  <c r="D32" i="1"/>
  <c r="C33" i="1"/>
  <c r="C32" i="1"/>
  <c r="C31" i="1"/>
  <c r="C30" i="1"/>
  <c r="C29" i="1"/>
  <c r="C28" i="1"/>
  <c r="C27" i="1"/>
  <c r="C26" i="1"/>
  <c r="C25" i="1"/>
  <c r="C24" i="1"/>
  <c r="C23" i="1"/>
  <c r="C22" i="1"/>
  <c r="B1" i="2"/>
  <c r="D22" i="5"/>
  <c r="F16" i="4" l="1"/>
  <c r="F15" i="4"/>
  <c r="F14" i="4"/>
  <c r="F13" i="4"/>
  <c r="F12" i="4"/>
  <c r="F11" i="4"/>
  <c r="F10" i="4"/>
  <c r="F9" i="4"/>
  <c r="F8" i="4"/>
  <c r="F7" i="4"/>
  <c r="F6" i="4"/>
  <c r="F20" i="4" l="1"/>
  <c r="H6" i="4"/>
  <c r="H10" i="4"/>
  <c r="H11" i="4"/>
  <c r="H8" i="4"/>
  <c r="H12" i="4"/>
  <c r="H13" i="4"/>
  <c r="H14" i="4"/>
  <c r="H7" i="4"/>
  <c r="H15" i="4"/>
  <c r="H9" i="4"/>
  <c r="H16" i="4"/>
  <c r="B16" i="2"/>
  <c r="E19" i="2"/>
  <c r="E10" i="2"/>
  <c r="E7" i="2"/>
  <c r="E6" i="2"/>
  <c r="E5" i="2"/>
  <c r="O17" i="1"/>
  <c r="N16" i="1"/>
  <c r="N17" i="1"/>
  <c r="B20" i="2"/>
  <c r="E9" i="2"/>
  <c r="E17" i="2"/>
  <c r="E23" i="2"/>
  <c r="E25" i="2"/>
  <c r="B2" i="3" l="1"/>
  <c r="B1" i="3"/>
  <c r="B2" i="2"/>
  <c r="B2" i="1"/>
  <c r="B20" i="4"/>
  <c r="E20" i="4"/>
  <c r="D20" i="4"/>
  <c r="B2" i="4"/>
  <c r="C4" i="4"/>
  <c r="G6" i="4"/>
  <c r="I6" i="4" s="1"/>
  <c r="J6" i="4"/>
  <c r="G7" i="4"/>
  <c r="I7" i="4" s="1"/>
  <c r="J7" i="4"/>
  <c r="G8" i="4"/>
  <c r="I8" i="4" s="1"/>
  <c r="J8" i="4"/>
  <c r="G9" i="4"/>
  <c r="I9" i="4" s="1"/>
  <c r="J9" i="4"/>
  <c r="G10" i="4"/>
  <c r="I10" i="4" s="1"/>
  <c r="J10" i="4"/>
  <c r="G11" i="4"/>
  <c r="I11" i="4" s="1"/>
  <c r="J11" i="4"/>
  <c r="G12" i="4"/>
  <c r="I12" i="4" s="1"/>
  <c r="J12" i="4"/>
  <c r="G13" i="4"/>
  <c r="I13" i="4" s="1"/>
  <c r="J13" i="4"/>
  <c r="G14" i="4"/>
  <c r="I14" i="4" s="1"/>
  <c r="J14" i="4"/>
  <c r="G15" i="4"/>
  <c r="I15" i="4" s="1"/>
  <c r="J15" i="4"/>
  <c r="G16" i="4"/>
  <c r="I16" i="4" s="1"/>
  <c r="J16" i="4"/>
  <c r="G17" i="4"/>
  <c r="I17" i="4" s="1"/>
  <c r="J17" i="4"/>
  <c r="C20" i="4"/>
  <c r="B18" i="1"/>
  <c r="E7" i="1"/>
  <c r="E8" i="1"/>
  <c r="E9" i="1"/>
  <c r="E10" i="1"/>
  <c r="E11" i="1"/>
  <c r="E12" i="1"/>
  <c r="E13" i="1"/>
  <c r="E14" i="1"/>
  <c r="E15" i="1"/>
  <c r="E6" i="1"/>
  <c r="I6" i="1"/>
  <c r="J6" i="1"/>
  <c r="K6" i="1"/>
  <c r="I7" i="1"/>
  <c r="J7" i="1"/>
  <c r="K7" i="1"/>
  <c r="I8" i="1"/>
  <c r="J8" i="1"/>
  <c r="K8" i="1"/>
  <c r="I9" i="1"/>
  <c r="J9" i="1"/>
  <c r="K9" i="1"/>
  <c r="I10" i="1"/>
  <c r="J10" i="1"/>
  <c r="K10" i="1"/>
  <c r="I11" i="1"/>
  <c r="J11" i="1"/>
  <c r="K11" i="1"/>
  <c r="I12" i="1"/>
  <c r="J12" i="1"/>
  <c r="K12" i="1"/>
  <c r="I13" i="1"/>
  <c r="J13" i="1"/>
  <c r="K13" i="1"/>
  <c r="I14" i="1"/>
  <c r="J14" i="1"/>
  <c r="K14" i="1"/>
  <c r="I15" i="1"/>
  <c r="J15" i="1"/>
  <c r="K15" i="1"/>
  <c r="F16" i="1"/>
  <c r="O16" i="1" s="1"/>
  <c r="I16" i="1"/>
  <c r="J16" i="1"/>
  <c r="K16" i="1"/>
  <c r="I17" i="1"/>
  <c r="J17" i="1"/>
  <c r="K17" i="1"/>
  <c r="C18" i="1"/>
  <c r="D18" i="1"/>
  <c r="G18" i="1"/>
  <c r="H18" i="1"/>
  <c r="L18" i="1"/>
  <c r="M18" i="1"/>
  <c r="E34" i="1"/>
  <c r="D30" i="1" l="1"/>
  <c r="F30" i="1" s="1"/>
  <c r="N14" i="1"/>
  <c r="D27" i="1"/>
  <c r="N11" i="1"/>
  <c r="D28" i="1"/>
  <c r="N12" i="1"/>
  <c r="D26" i="1"/>
  <c r="F26" i="1" s="1"/>
  <c r="N10" i="1"/>
  <c r="D29" i="1"/>
  <c r="F29" i="1" s="1"/>
  <c r="N13" i="1"/>
  <c r="D25" i="1"/>
  <c r="F25" i="1" s="1"/>
  <c r="N9" i="1"/>
  <c r="D24" i="1"/>
  <c r="F24" i="1" s="1"/>
  <c r="N8" i="1"/>
  <c r="F14" i="1"/>
  <c r="O14" i="1" s="1"/>
  <c r="F8" i="1"/>
  <c r="O8" i="1" s="1"/>
  <c r="D23" i="1"/>
  <c r="N7" i="1"/>
  <c r="F13" i="1"/>
  <c r="O13" i="1" s="1"/>
  <c r="F15" i="1"/>
  <c r="O15" i="1" s="1"/>
  <c r="D31" i="1"/>
  <c r="F31" i="1" s="1"/>
  <c r="N15" i="1"/>
  <c r="E24" i="2"/>
  <c r="E26" i="2" s="1"/>
  <c r="E20" i="2"/>
  <c r="F11" i="1"/>
  <c r="O11" i="1" s="1"/>
  <c r="E21" i="2"/>
  <c r="F12" i="1"/>
  <c r="O12" i="1" s="1"/>
  <c r="D22" i="1"/>
  <c r="F22" i="1" s="1"/>
  <c r="N6" i="1"/>
  <c r="N18" i="1" s="1"/>
  <c r="E22" i="2"/>
  <c r="J20" i="4"/>
  <c r="I20" i="4"/>
  <c r="F33" i="1"/>
  <c r="G20" i="4"/>
  <c r="F7" i="1"/>
  <c r="O7" i="1" s="1"/>
  <c r="F28" i="1"/>
  <c r="F10" i="1"/>
  <c r="O10" i="1" s="1"/>
  <c r="F9" i="1"/>
  <c r="O9" i="1" s="1"/>
  <c r="H20" i="4"/>
  <c r="F32" i="1"/>
  <c r="E18" i="1"/>
  <c r="F23" i="1"/>
  <c r="F27" i="1"/>
  <c r="F6" i="1"/>
  <c r="O6" i="1" s="1"/>
  <c r="J18" i="1"/>
  <c r="K18" i="1"/>
  <c r="I18" i="1"/>
  <c r="C34" i="1"/>
  <c r="E11" i="2" l="1"/>
  <c r="E13" i="2"/>
  <c r="D34" i="1"/>
  <c r="F18" i="1"/>
  <c r="F34" i="1"/>
  <c r="E12" i="2" s="1"/>
  <c r="O18" i="1"/>
  <c r="E14" i="2" l="1"/>
  <c r="E18" i="2"/>
</calcChain>
</file>

<file path=xl/sharedStrings.xml><?xml version="1.0" encoding="utf-8"?>
<sst xmlns="http://schemas.openxmlformats.org/spreadsheetml/2006/main" count="4294919756" uniqueCount="100">
  <si>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</si>
  <si>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</si>
  <si>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</si>
  <si>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</si>
  <si>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</si>
  <si>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</si>
  <si>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</si>
  <si>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</si>
  <si>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</si>
  <si>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</si>
  <si>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</si>
  <si>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</si>
  <si>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Einspeisung</t>
  </si>
  <si>
    <t>Förderung</t>
  </si>
  <si>
    <t>Gesamtkosten</t>
  </si>
  <si>
    <t>PV-Ertrag     kWh</t>
  </si>
  <si>
    <t>Batterie- ladung</t>
  </si>
  <si>
    <t>Batterie- ladezyklen</t>
  </si>
  <si>
    <t>Anschaffungskosten</t>
  </si>
  <si>
    <t>Batterie- verbrauch</t>
  </si>
  <si>
    <t>Batterie Verluste</t>
  </si>
  <si>
    <t>Verbrauch gesamt  kWh</t>
  </si>
  <si>
    <t>Verbrauch von PV-System kWh</t>
  </si>
  <si>
    <t>Verbrauch direkt von PV kWh</t>
  </si>
  <si>
    <t>Verbrauch aus dem Netz kWh</t>
  </si>
  <si>
    <t>Autarkiegrad</t>
  </si>
  <si>
    <t>Gewinn / Verlust in          €</t>
  </si>
  <si>
    <t>(exkl. MwSt.)</t>
  </si>
  <si>
    <t>PV-Anlagen Grunddaten</t>
  </si>
  <si>
    <t>Autargiegrad ohne Speicher (theoretisch)</t>
  </si>
  <si>
    <t>Ersparnis          ggü. Netzbezug</t>
  </si>
  <si>
    <t>monatliche Kosten</t>
  </si>
  <si>
    <t>Vergütung   (Schätzungl)</t>
  </si>
  <si>
    <t>Batterie- nutzung         in %</t>
  </si>
  <si>
    <t>Anschaffungskosten PV gesamt</t>
  </si>
  <si>
    <t>Netzbezugspreis in Euro/kWh</t>
  </si>
  <si>
    <t>Einspeisevergütung in Euro/kWh</t>
  </si>
  <si>
    <t>Monats-Soll kWh (PVgis)</t>
  </si>
  <si>
    <t>Tages-Soll     kWh/ Tag</t>
  </si>
  <si>
    <t>Tages-Soll kWh/ kWp</t>
  </si>
  <si>
    <t>Monats-Ist kWh Ertrag</t>
  </si>
  <si>
    <t>Monats-Ist    kWh/ kWp</t>
  </si>
  <si>
    <t>Tages-Ist     kWh/ Tag</t>
  </si>
  <si>
    <t>Tages-Ist  kWh/ kWp</t>
  </si>
  <si>
    <t>% vom Soll</t>
  </si>
  <si>
    <t>Excel-Tabelle von: Otter (photovoltaikforum.com)</t>
  </si>
  <si>
    <t xml:space="preserve">Standort </t>
  </si>
  <si>
    <t xml:space="preserve">Bezeichnung/Name der PV-Anlage </t>
  </si>
  <si>
    <t xml:space="preserve">installierte PV-Modulleistung </t>
  </si>
  <si>
    <t>kWp</t>
  </si>
  <si>
    <t xml:space="preserve">Gesamtkosten PV-Anlage </t>
  </si>
  <si>
    <t xml:space="preserve">Kosten Speicher allein </t>
  </si>
  <si>
    <t xml:space="preserve">Speichergröße Brutto </t>
  </si>
  <si>
    <t>kWh</t>
  </si>
  <si>
    <t xml:space="preserve">Speicher minSOC </t>
  </si>
  <si>
    <t xml:space="preserve">Speicher maxSOC </t>
  </si>
  <si>
    <t xml:space="preserve">Speicher Nutzungsdauer in Jahren </t>
  </si>
  <si>
    <t>Jahre</t>
  </si>
  <si>
    <t xml:space="preserve">aktuelles Jahr </t>
  </si>
  <si>
    <t xml:space="preserve">Netzbezugspreis </t>
  </si>
  <si>
    <t>/kWh</t>
  </si>
  <si>
    <t xml:space="preserve">Einspeisevergütung </t>
  </si>
  <si>
    <t xml:space="preserve">Förderung </t>
  </si>
  <si>
    <t xml:space="preserve">Aktueller Zinssatz auf Festgeld </t>
  </si>
  <si>
    <t>Jahres-Soll    kWh</t>
  </si>
  <si>
    <t>Tagesschnitt kWh/Tag</t>
  </si>
  <si>
    <t>Tagesschnitt kWh/kWp</t>
  </si>
  <si>
    <t>Jahres-Ist Ertrag kWh</t>
  </si>
  <si>
    <t>Monats-Ist      im Schnitt     kWh/kWp</t>
  </si>
  <si>
    <t>Tages-Ist          im Schnitt       kWh/Tag</t>
  </si>
  <si>
    <t>Tages-Ist     im Schnitt      kWh/kWp</t>
  </si>
  <si>
    <t>Schnitt           in %</t>
  </si>
  <si>
    <t>Min. Amortisation in €/Jahr</t>
  </si>
  <si>
    <t>/Jahr</t>
  </si>
  <si>
    <t>Realisierte Amortisation  in €/Jahr</t>
  </si>
  <si>
    <t>Min. Amortisation in %/Jahr</t>
  </si>
  <si>
    <t>Realisierte Amortisation in %/Jahr</t>
  </si>
  <si>
    <t>Hinweise:</t>
  </si>
  <si>
    <t>Betriebskosten (1)</t>
  </si>
  <si>
    <t>Real Batteriestromkosten je kWh (2)</t>
  </si>
  <si>
    <t>2) = ((Anschaffungskosten / Nutzungsdauer) / entladene kWh) + entgangene Einspeisevergütung + Speicher- u. Wandlerverluste</t>
  </si>
  <si>
    <t>3) = ((Anschaffungskosten / Nutzungsdauer) / entladene kWh) + Wandlerverluste</t>
  </si>
  <si>
    <t>Offene Gesamt-Restabschreibung</t>
  </si>
  <si>
    <t>Geplante Nutzungsdauer in Jahren</t>
  </si>
  <si>
    <r>
      <t>Realisierte Amortisation  in €/Jahr</t>
    </r>
    <r>
      <rPr>
        <sz val="11"/>
        <color theme="1"/>
        <rFont val="Calibri"/>
        <family val="2"/>
        <scheme val="minor"/>
      </rPr>
      <t xml:space="preserve"> (4)</t>
    </r>
  </si>
  <si>
    <t>4) = (Batterieentladung * Netzbezugspreis) - (Batterieentladung * Einspeisevergütung)</t>
  </si>
  <si>
    <r>
      <t>Realisierte Amortisation in %/Jahr</t>
    </r>
    <r>
      <rPr>
        <sz val="11"/>
        <color theme="1"/>
        <rFont val="Calibri"/>
        <family val="2"/>
        <scheme val="minor"/>
      </rPr>
      <t xml:space="preserve"> (5)</t>
    </r>
  </si>
  <si>
    <t>5) = Realisierte Amortisation im Jahr / Speicher Anschaffungskosten</t>
  </si>
  <si>
    <t>exkl. MwSt.</t>
  </si>
  <si>
    <t>Nutzungsdauer PV-Anlage gesamt</t>
  </si>
  <si>
    <t xml:space="preserve">Erwartete j. Strompreissteigerung </t>
  </si>
  <si>
    <t xml:space="preserve">Angenommene Degradation Module </t>
  </si>
  <si>
    <t xml:space="preserve">Angenommene Degradation Speicher </t>
  </si>
  <si>
    <t xml:space="preserve">/Jahr </t>
  </si>
  <si>
    <t>Monate</t>
  </si>
  <si>
    <t>Tage</t>
  </si>
  <si>
    <t xml:space="preserve">Betriebskosten der PV-Anlage gesamt </t>
  </si>
  <si>
    <t>Netto Batteriestromkosten je kWh (3)</t>
  </si>
  <si>
    <t>Musterhausen</t>
  </si>
  <si>
    <t>Muster-PV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</si>
</sst>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\ &quot;€&quot;"/>
    <numFmt numFmtId="165" formatCode="#,##0.00\ _€"/>
    <numFmt numFmtId="166" formatCode="#,##0.000\ &quot;€&quot;"/>
    <numFmt numFmtId="167" formatCode="0.0%"/>
    <numFmt numFmtId="168" formatCode="0.0000"/>
    <numFmt numFmtId="169" formatCode="0.0"/>
    <numFmt numFmtId="170" formatCode="#,##0.0"/>
    <numFmt numFmtId="171" formatCode="#,##0.0000\ &quot;€&quot;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8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EF75E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90">
    <xf numFmtId="0" fontId="0" fillId="0" borderId="0" xfId="0"/>
    <xf numFmtId="0" fontId="0" fillId="0" borderId="0" xfId="0" applyAlignment="1">
      <alignment horizontal="center" vertical="top" wrapText="1"/>
    </xf>
    <xf numFmtId="0" fontId="1" fillId="0" borderId="1" xfId="0" applyFont="1" applyBorder="1"/>
    <xf numFmtId="164" fontId="0" fillId="0" borderId="1" xfId="0" applyNumberFormat="1" applyBorder="1"/>
    <xf numFmtId="10" fontId="0" fillId="3" borderId="1" xfId="0" applyNumberFormat="1" applyFill="1" applyBorder="1"/>
    <xf numFmtId="0" fontId="6" fillId="0" borderId="0" xfId="0" applyFont="1" applyAlignment="1">
      <alignment horizontal="center" vertical="center" readingOrder="1"/>
    </xf>
    <xf numFmtId="10" fontId="0" fillId="6" borderId="1" xfId="0" applyNumberFormat="1" applyFill="1" applyBorder="1" applyAlignment="1">
      <alignment horizontal="center"/>
    </xf>
    <xf numFmtId="2" fontId="0" fillId="0" borderId="1" xfId="0" applyNumberFormat="1" applyBorder="1"/>
    <xf numFmtId="2" fontId="0" fillId="0" borderId="1" xfId="0" applyNumberFormat="1" applyBorder="1" applyAlignment="1">
      <alignment horizontal="center"/>
    </xf>
    <xf numFmtId="4" fontId="0" fillId="0" borderId="1" xfId="0" applyNumberFormat="1" applyBorder="1"/>
    <xf numFmtId="4" fontId="0" fillId="0" borderId="1" xfId="0" applyNumberFormat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0" fillId="13" borderId="0" xfId="0" applyFill="1"/>
    <xf numFmtId="0" fontId="10" fillId="13" borderId="0" xfId="0" applyFont="1" applyFill="1"/>
    <xf numFmtId="0" fontId="0" fillId="0" borderId="1" xfId="0" applyBorder="1" applyAlignment="1">
      <alignment horizontal="left" vertical="top" wrapText="1"/>
    </xf>
    <xf numFmtId="167" fontId="5" fillId="0" borderId="1" xfId="0" applyNumberFormat="1" applyFont="1" applyBorder="1" applyAlignment="1">
      <alignment horizontal="center"/>
    </xf>
    <xf numFmtId="10" fontId="5" fillId="6" borderId="1" xfId="0" applyNumberFormat="1" applyFont="1" applyFill="1" applyBorder="1" applyAlignment="1">
      <alignment horizontal="center"/>
    </xf>
    <xf numFmtId="0" fontId="11" fillId="9" borderId="1" xfId="0" applyFont="1" applyFill="1" applyBorder="1" applyAlignment="1">
      <alignment horizontal="center" vertical="top" wrapText="1"/>
    </xf>
    <xf numFmtId="0" fontId="11" fillId="7" borderId="1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0" fontId="11" fillId="10" borderId="1" xfId="0" applyFont="1" applyFill="1" applyBorder="1" applyAlignment="1">
      <alignment horizontal="center" vertical="top" wrapText="1"/>
    </xf>
    <xf numFmtId="0" fontId="11" fillId="6" borderId="1" xfId="0" applyFont="1" applyFill="1" applyBorder="1" applyAlignment="1">
      <alignment horizontal="center" vertical="top" wrapText="1"/>
    </xf>
    <xf numFmtId="0" fontId="12" fillId="14" borderId="1" xfId="0" applyFont="1" applyFill="1" applyBorder="1" applyAlignment="1">
      <alignment horizontal="center" vertical="top" wrapText="1"/>
    </xf>
    <xf numFmtId="0" fontId="11" fillId="16" borderId="1" xfId="0" applyFont="1" applyFill="1" applyBorder="1" applyAlignment="1">
      <alignment horizontal="center" vertical="top" wrapText="1"/>
    </xf>
    <xf numFmtId="0" fontId="11" fillId="8" borderId="1" xfId="0" applyFont="1" applyFill="1" applyBorder="1" applyAlignment="1">
      <alignment horizontal="center" vertical="top" wrapText="1"/>
    </xf>
    <xf numFmtId="0" fontId="12" fillId="11" borderId="1" xfId="0" applyFont="1" applyFill="1" applyBorder="1" applyAlignment="1">
      <alignment horizontal="center" vertical="top" wrapText="1"/>
    </xf>
    <xf numFmtId="0" fontId="13" fillId="1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164" fontId="0" fillId="0" borderId="0" xfId="0" applyNumberFormat="1"/>
    <xf numFmtId="0" fontId="0" fillId="7" borderId="2" xfId="0" applyFill="1" applyBorder="1"/>
    <xf numFmtId="0" fontId="0" fillId="7" borderId="3" xfId="0" applyFill="1" applyBorder="1"/>
    <xf numFmtId="0" fontId="0" fillId="7" borderId="4" xfId="0" applyFill="1" applyBorder="1"/>
    <xf numFmtId="164" fontId="0" fillId="4" borderId="1" xfId="0" applyNumberFormat="1" applyFill="1" applyBorder="1"/>
    <xf numFmtId="10" fontId="0" fillId="4" borderId="1" xfId="0" applyNumberFormat="1" applyFill="1" applyBorder="1"/>
    <xf numFmtId="0" fontId="0" fillId="14" borderId="1" xfId="0" applyFill="1" applyBorder="1" applyAlignment="1">
      <alignment horizontal="left"/>
    </xf>
    <xf numFmtId="0" fontId="0" fillId="14" borderId="1" xfId="0" applyFill="1" applyBorder="1"/>
    <xf numFmtId="164" fontId="0" fillId="3" borderId="1" xfId="0" applyNumberFormat="1" applyFill="1" applyBorder="1"/>
    <xf numFmtId="1" fontId="0" fillId="3" borderId="1" xfId="0" applyNumberFormat="1" applyFill="1" applyBorder="1"/>
    <xf numFmtId="4" fontId="0" fillId="3" borderId="1" xfId="0" applyNumberFormat="1" applyFill="1" applyBorder="1"/>
    <xf numFmtId="166" fontId="0" fillId="4" borderId="1" xfId="0" applyNumberFormat="1" applyFill="1" applyBorder="1"/>
    <xf numFmtId="165" fontId="0" fillId="4" borderId="1" xfId="0" applyNumberFormat="1" applyFill="1" applyBorder="1"/>
    <xf numFmtId="168" fontId="0" fillId="0" borderId="0" xfId="0" applyNumberFormat="1"/>
    <xf numFmtId="49" fontId="1" fillId="4" borderId="1" xfId="0" applyNumberFormat="1" applyFont="1" applyFill="1" applyBorder="1" applyAlignment="1">
      <alignment horizontal="center" wrapText="1"/>
    </xf>
    <xf numFmtId="49" fontId="1" fillId="18" borderId="1" xfId="0" applyNumberFormat="1" applyFont="1" applyFill="1" applyBorder="1" applyAlignment="1">
      <alignment horizontal="center" wrapText="1"/>
    </xf>
    <xf numFmtId="4" fontId="0" fillId="5" borderId="1" xfId="0" applyNumberFormat="1" applyFill="1" applyBorder="1" applyAlignment="1">
      <alignment horizontal="center"/>
    </xf>
    <xf numFmtId="167" fontId="1" fillId="0" borderId="1" xfId="0" applyNumberFormat="1" applyFont="1" applyBorder="1" applyAlignment="1">
      <alignment horizontal="center"/>
    </xf>
    <xf numFmtId="4" fontId="0" fillId="5" borderId="1" xfId="0" applyNumberFormat="1" applyFill="1" applyBorder="1" applyAlignment="1">
      <alignment horizontal="right"/>
    </xf>
    <xf numFmtId="166" fontId="0" fillId="0" borderId="0" xfId="0" applyNumberFormat="1"/>
    <xf numFmtId="165" fontId="0" fillId="0" borderId="0" xfId="0" applyNumberFormat="1"/>
    <xf numFmtId="10" fontId="0" fillId="0" borderId="0" xfId="0" applyNumberFormat="1"/>
    <xf numFmtId="0" fontId="1" fillId="0" borderId="0" xfId="0" applyFont="1"/>
    <xf numFmtId="0" fontId="1" fillId="0" borderId="0" xfId="0" applyFont="1" applyAlignment="1">
      <alignment wrapText="1"/>
    </xf>
    <xf numFmtId="0" fontId="4" fillId="4" borderId="5" xfId="0" applyFont="1" applyFill="1" applyBorder="1" applyAlignment="1">
      <alignment horizontal="center" vertical="center"/>
    </xf>
    <xf numFmtId="4" fontId="4" fillId="4" borderId="5" xfId="0" applyNumberFormat="1" applyFont="1" applyFill="1" applyBorder="1" applyAlignment="1">
      <alignment vertical="center"/>
    </xf>
    <xf numFmtId="10" fontId="4" fillId="4" borderId="5" xfId="0" applyNumberFormat="1" applyFont="1" applyFill="1" applyBorder="1" applyAlignment="1">
      <alignment vertical="center"/>
    </xf>
    <xf numFmtId="167" fontId="4" fillId="4" borderId="5" xfId="0" applyNumberFormat="1" applyFont="1" applyFill="1" applyBorder="1" applyAlignment="1">
      <alignment horizontal="right" vertical="center"/>
    </xf>
    <xf numFmtId="2" fontId="0" fillId="19" borderId="6" xfId="0" applyNumberFormat="1" applyFill="1" applyBorder="1" applyProtection="1">
      <protection locked="0"/>
    </xf>
    <xf numFmtId="164" fontId="0" fillId="19" borderId="1" xfId="0" applyNumberFormat="1" applyFill="1" applyBorder="1" applyProtection="1">
      <protection locked="0"/>
    </xf>
    <xf numFmtId="164" fontId="0" fillId="19" borderId="6" xfId="0" applyNumberFormat="1" applyFill="1" applyBorder="1" applyProtection="1">
      <protection locked="0"/>
    </xf>
    <xf numFmtId="2" fontId="0" fillId="19" borderId="1" xfId="0" applyNumberFormat="1" applyFill="1" applyBorder="1" applyProtection="1">
      <protection locked="0"/>
    </xf>
    <xf numFmtId="10" fontId="0" fillId="19" borderId="6" xfId="0" applyNumberFormat="1" applyFill="1" applyBorder="1" applyProtection="1">
      <protection locked="0"/>
    </xf>
    <xf numFmtId="10" fontId="0" fillId="19" borderId="1" xfId="0" applyNumberFormat="1" applyFill="1" applyBorder="1" applyProtection="1">
      <protection locked="0"/>
    </xf>
    <xf numFmtId="1" fontId="0" fillId="19" borderId="1" xfId="0" applyNumberFormat="1" applyFill="1" applyBorder="1" applyProtection="1">
      <protection locked="0"/>
    </xf>
    <xf numFmtId="0" fontId="0" fillId="19" borderId="1" xfId="0" applyFill="1" applyBorder="1" applyProtection="1">
      <protection locked="0"/>
    </xf>
    <xf numFmtId="166" fontId="0" fillId="19" borderId="1" xfId="0" applyNumberFormat="1" applyFill="1" applyBorder="1" applyProtection="1">
      <protection locked="0"/>
    </xf>
    <xf numFmtId="4" fontId="0" fillId="19" borderId="1" xfId="0" applyNumberFormat="1" applyFill="1" applyBorder="1" applyAlignment="1" applyProtection="1">
      <alignment horizontal="center"/>
      <protection locked="0"/>
    </xf>
    <xf numFmtId="2" fontId="0" fillId="19" borderId="1" xfId="0" applyNumberFormat="1" applyFill="1" applyBorder="1" applyAlignment="1" applyProtection="1">
      <alignment horizontal="center"/>
      <protection locked="0"/>
    </xf>
    <xf numFmtId="169" fontId="0" fillId="19" borderId="1" xfId="0" applyNumberFormat="1" applyFill="1" applyBorder="1" applyAlignment="1" applyProtection="1">
      <alignment horizontal="center"/>
      <protection locked="0"/>
    </xf>
    <xf numFmtId="169" fontId="5" fillId="19" borderId="1" xfId="0" applyNumberFormat="1" applyFont="1" applyFill="1" applyBorder="1" applyAlignment="1" applyProtection="1">
      <alignment horizontal="center"/>
      <protection locked="0"/>
    </xf>
    <xf numFmtId="49" fontId="1" fillId="4" borderId="4" xfId="0" applyNumberFormat="1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" fillId="4" borderId="4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1" fillId="18" borderId="1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/>
    </xf>
    <xf numFmtId="0" fontId="1" fillId="18" borderId="1" xfId="0" applyFont="1" applyFill="1" applyBorder="1" applyAlignment="1">
      <alignment vertical="top" wrapText="1"/>
    </xf>
    <xf numFmtId="2" fontId="5" fillId="19" borderId="1" xfId="0" applyNumberFormat="1" applyFont="1" applyFill="1" applyBorder="1" applyAlignment="1" applyProtection="1">
      <alignment horizontal="center"/>
      <protection locked="0"/>
    </xf>
    <xf numFmtId="0" fontId="1" fillId="7" borderId="2" xfId="0" applyFont="1" applyFill="1" applyBorder="1"/>
    <xf numFmtId="0" fontId="17" fillId="13" borderId="0" xfId="0" applyFont="1" applyFill="1"/>
    <xf numFmtId="166" fontId="0" fillId="3" borderId="1" xfId="0" applyNumberFormat="1" applyFill="1" applyBorder="1"/>
    <xf numFmtId="0" fontId="0" fillId="7" borderId="1" xfId="0" applyFill="1" applyBorder="1" applyAlignment="1">
      <alignment horizontal="left"/>
    </xf>
    <xf numFmtId="167" fontId="0" fillId="19" borderId="1" xfId="0" applyNumberFormat="1" applyFill="1" applyBorder="1"/>
    <xf numFmtId="167" fontId="0" fillId="19" borderId="6" xfId="0" applyNumberFormat="1" applyFill="1" applyBorder="1"/>
    <xf numFmtId="0" fontId="0" fillId="2" borderId="3" xfId="0" applyFill="1" applyBorder="1" applyAlignment="1">
      <alignment horizontal="center"/>
    </xf>
    <xf numFmtId="4" fontId="1" fillId="0" borderId="1" xfId="0" applyNumberFormat="1" applyFont="1" applyBorder="1" applyAlignment="1">
      <alignment horizontal="right"/>
    </xf>
    <xf numFmtId="170" fontId="1" fillId="0" borderId="1" xfId="0" applyNumberFormat="1" applyFont="1" applyBorder="1" applyAlignment="1">
      <alignment horizontal="right"/>
    </xf>
    <xf numFmtId="4" fontId="0" fillId="0" borderId="1" xfId="0" applyNumberFormat="1" applyBorder="1" applyAlignment="1">
      <alignment horizontal="right"/>
    </xf>
    <xf numFmtId="0" fontId="7" fillId="5" borderId="0" xfId="0" applyFont="1" applyFill="1"/>
    <xf numFmtId="0" fontId="14" fillId="5" borderId="0" xfId="0" applyFont="1" applyFill="1"/>
    <xf numFmtId="0" fontId="5" fillId="5" borderId="0" xfId="0" applyFont="1" applyFill="1"/>
    <xf numFmtId="0" fontId="16" fillId="5" borderId="0" xfId="0" applyFont="1" applyFill="1"/>
    <xf numFmtId="0" fontId="0" fillId="5" borderId="8" xfId="0" applyFill="1" applyBorder="1"/>
    <xf numFmtId="0" fontId="1" fillId="5" borderId="9" xfId="0" applyFont="1" applyFill="1" applyBorder="1" applyAlignment="1">
      <alignment horizontal="center" wrapText="1"/>
    </xf>
    <xf numFmtId="0" fontId="0" fillId="5" borderId="0" xfId="0" applyFill="1"/>
    <xf numFmtId="0" fontId="1" fillId="5" borderId="0" xfId="0" applyFont="1" applyFill="1" applyAlignment="1">
      <alignment horizontal="center"/>
    </xf>
    <xf numFmtId="3" fontId="1" fillId="5" borderId="0" xfId="0" applyNumberFormat="1" applyFont="1" applyFill="1"/>
    <xf numFmtId="4" fontId="1" fillId="5" borderId="0" xfId="0" applyNumberFormat="1" applyFont="1" applyFill="1"/>
    <xf numFmtId="4" fontId="0" fillId="5" borderId="0" xfId="0" applyNumberFormat="1" applyFill="1"/>
    <xf numFmtId="0" fontId="1" fillId="5" borderId="0" xfId="0" applyFont="1" applyFill="1"/>
    <xf numFmtId="0" fontId="0" fillId="5" borderId="9" xfId="0" applyFill="1" applyBorder="1"/>
    <xf numFmtId="0" fontId="18" fillId="0" borderId="0" xfId="0" applyFont="1"/>
    <xf numFmtId="0" fontId="15" fillId="5" borderId="0" xfId="0" applyFont="1" applyFill="1"/>
    <xf numFmtId="164" fontId="0" fillId="5" borderId="0" xfId="0" applyNumberFormat="1" applyFill="1"/>
    <xf numFmtId="164" fontId="0" fillId="5" borderId="0" xfId="0" applyNumberFormat="1" applyFill="1" applyAlignment="1">
      <alignment horizontal="center"/>
    </xf>
    <xf numFmtId="0" fontId="18" fillId="5" borderId="0" xfId="0" applyFont="1" applyFill="1"/>
    <xf numFmtId="0" fontId="8" fillId="5" borderId="0" xfId="0" applyFont="1" applyFill="1"/>
    <xf numFmtId="0" fontId="0" fillId="5" borderId="0" xfId="0" applyFill="1" applyAlignment="1">
      <alignment horizontal="center" vertical="top" wrapText="1"/>
    </xf>
    <xf numFmtId="0" fontId="1" fillId="5" borderId="0" xfId="0" applyFont="1" applyFill="1" applyAlignment="1">
      <alignment wrapText="1"/>
    </xf>
    <xf numFmtId="0" fontId="1" fillId="5" borderId="7" xfId="0" applyFont="1" applyFill="1" applyBorder="1"/>
    <xf numFmtId="4" fontId="0" fillId="5" borderId="7" xfId="0" applyNumberFormat="1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2" fontId="0" fillId="5" borderId="7" xfId="0" applyNumberFormat="1" applyFill="1" applyBorder="1" applyAlignment="1">
      <alignment horizontal="center"/>
    </xf>
    <xf numFmtId="2" fontId="5" fillId="5" borderId="7" xfId="0" applyNumberFormat="1" applyFont="1" applyFill="1" applyBorder="1" applyAlignment="1">
      <alignment horizontal="center"/>
    </xf>
    <xf numFmtId="10" fontId="5" fillId="5" borderId="7" xfId="0" applyNumberFormat="1" applyFont="1" applyFill="1" applyBorder="1" applyAlignment="1">
      <alignment horizontal="center"/>
    </xf>
    <xf numFmtId="10" fontId="0" fillId="5" borderId="7" xfId="0" applyNumberFormat="1" applyFill="1" applyBorder="1" applyAlignment="1">
      <alignment horizontal="center"/>
    </xf>
    <xf numFmtId="0" fontId="5" fillId="5" borderId="7" xfId="0" applyFont="1" applyFill="1" applyBorder="1" applyAlignment="1">
      <alignment horizontal="center"/>
    </xf>
    <xf numFmtId="167" fontId="0" fillId="5" borderId="7" xfId="0" applyNumberFormat="1" applyFill="1" applyBorder="1" applyAlignment="1">
      <alignment horizontal="center"/>
    </xf>
    <xf numFmtId="2" fontId="0" fillId="5" borderId="0" xfId="0" applyNumberFormat="1" applyFill="1" applyAlignment="1">
      <alignment horizontal="center"/>
    </xf>
    <xf numFmtId="2" fontId="5" fillId="5" borderId="0" xfId="0" applyNumberFormat="1" applyFont="1" applyFill="1" applyAlignment="1">
      <alignment horizontal="center"/>
    </xf>
    <xf numFmtId="10" fontId="5" fillId="5" borderId="0" xfId="0" applyNumberFormat="1" applyFont="1" applyFill="1" applyAlignment="1">
      <alignment horizontal="center"/>
    </xf>
    <xf numFmtId="10" fontId="0" fillId="5" borderId="0" xfId="0" applyNumberFormat="1" applyFill="1" applyAlignment="1">
      <alignment horizontal="center"/>
    </xf>
    <xf numFmtId="0" fontId="5" fillId="5" borderId="0" xfId="0" applyFont="1" applyFill="1" applyAlignment="1">
      <alignment horizontal="center"/>
    </xf>
    <xf numFmtId="167" fontId="0" fillId="5" borderId="0" xfId="0" applyNumberFormat="1" applyFill="1" applyAlignment="1">
      <alignment horizontal="center"/>
    </xf>
    <xf numFmtId="0" fontId="4" fillId="5" borderId="0" xfId="0" applyFont="1" applyFill="1"/>
    <xf numFmtId="2" fontId="4" fillId="5" borderId="0" xfId="0" applyNumberFormat="1" applyFont="1" applyFill="1"/>
    <xf numFmtId="10" fontId="4" fillId="5" borderId="0" xfId="0" applyNumberFormat="1" applyFont="1" applyFill="1"/>
    <xf numFmtId="167" fontId="4" fillId="5" borderId="0" xfId="0" applyNumberFormat="1" applyFont="1" applyFill="1" applyAlignment="1">
      <alignment horizontal="right"/>
    </xf>
    <xf numFmtId="164" fontId="4" fillId="5" borderId="0" xfId="0" applyNumberFormat="1" applyFont="1" applyFill="1"/>
    <xf numFmtId="0" fontId="9" fillId="5" borderId="0" xfId="0" applyFont="1" applyFill="1"/>
    <xf numFmtId="0" fontId="1" fillId="5" borderId="0" xfId="0" applyFont="1" applyFill="1" applyAlignment="1">
      <alignment horizontal="right"/>
    </xf>
    <xf numFmtId="0" fontId="0" fillId="5" borderId="10" xfId="0" applyFill="1" applyBorder="1" applyProtection="1">
      <protection locked="0"/>
    </xf>
    <xf numFmtId="0" fontId="0" fillId="5" borderId="0" xfId="0" applyFill="1" applyAlignment="1">
      <alignment horizontal="right"/>
    </xf>
    <xf numFmtId="171" fontId="0" fillId="19" borderId="1" xfId="0" applyNumberFormat="1" applyFill="1" applyBorder="1" applyProtection="1">
      <protection locked="0"/>
    </xf>
    <xf numFmtId="0" fontId="19" fillId="5" borderId="0" xfId="0" applyFont="1" applyFill="1"/>
    <xf numFmtId="0" fontId="13" fillId="15" borderId="2" xfId="0" applyFont="1" applyFill="1" applyBorder="1" applyAlignment="1">
      <alignment horizontal="center" vertical="top" wrapText="1"/>
    </xf>
    <xf numFmtId="167" fontId="0" fillId="0" borderId="2" xfId="0" applyNumberFormat="1" applyBorder="1" applyAlignment="1">
      <alignment horizontal="center"/>
    </xf>
    <xf numFmtId="167" fontId="4" fillId="4" borderId="11" xfId="0" applyNumberFormat="1" applyFont="1" applyFill="1" applyBorder="1" applyAlignment="1">
      <alignment horizontal="right" vertical="center"/>
    </xf>
    <xf numFmtId="0" fontId="0" fillId="5" borderId="10" xfId="0" applyFill="1" applyBorder="1"/>
    <xf numFmtId="0" fontId="0" fillId="5" borderId="10" xfId="0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horizontal="center"/>
    </xf>
    <xf numFmtId="3" fontId="1" fillId="19" borderId="1" xfId="0" applyNumberFormat="1" applyFont="1" applyFill="1" applyBorder="1" applyAlignment="1">
      <alignment horizontal="center"/>
    </xf>
    <xf numFmtId="0" fontId="1" fillId="2" borderId="2" xfId="0" applyFont="1" applyFill="1" applyBorder="1"/>
    <xf numFmtId="4" fontId="0" fillId="2" borderId="3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164" fontId="0" fillId="14" borderId="1" xfId="0" applyNumberFormat="1" applyFill="1" applyBorder="1" applyAlignment="1">
      <alignment horizontal="center"/>
    </xf>
    <xf numFmtId="164" fontId="0" fillId="14" borderId="1" xfId="0" applyNumberFormat="1" applyFill="1" applyBorder="1"/>
    <xf numFmtId="1" fontId="0" fillId="14" borderId="1" xfId="0" applyNumberFormat="1" applyFill="1" applyBorder="1"/>
    <xf numFmtId="4" fontId="0" fillId="14" borderId="1" xfId="0" applyNumberFormat="1" applyFill="1" applyBorder="1"/>
    <xf numFmtId="10" fontId="0" fillId="14" borderId="1" xfId="0" applyNumberFormat="1" applyFill="1" applyBorder="1"/>
    <xf numFmtId="166" fontId="0" fillId="7" borderId="1" xfId="0" applyNumberFormat="1" applyFill="1" applyBorder="1"/>
    <xf numFmtId="0" fontId="0" fillId="7" borderId="1" xfId="0" applyFill="1" applyBorder="1"/>
    <xf numFmtId="164" fontId="0" fillId="7" borderId="1" xfId="0" applyNumberFormat="1" applyFill="1" applyBorder="1"/>
    <xf numFmtId="165" fontId="0" fillId="7" borderId="1" xfId="0" applyNumberFormat="1" applyFill="1" applyBorder="1"/>
    <xf numFmtId="167" fontId="0" fillId="19" borderId="1" xfId="0" applyNumberFormat="1" applyFill="1" applyBorder="1" applyProtection="1">
      <protection locked="0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/>
    <xf numFmtId="16" fontId="0" fillId="5" borderId="1" xfId="0" applyNumberFormat="1" applyFill="1" applyBorder="1"/>
    <xf numFmtId="0" fontId="0" fillId="5" borderId="1" xfId="0" applyFill="1" applyBorder="1"/>
    <xf numFmtId="0" fontId="0" fillId="5" borderId="0" xfId="0" applyFill="1" applyAlignment="1">
      <alignment horizontal="left"/>
    </xf>
    <xf numFmtId="0" fontId="0" fillId="19" borderId="2" xfId="0" applyFill="1" applyBorder="1" applyAlignment="1" applyProtection="1">
      <alignment horizontal="left"/>
      <protection locked="0"/>
    </xf>
    <xf numFmtId="0" fontId="0" fillId="19" borderId="3" xfId="0" applyFill="1" applyBorder="1" applyAlignment="1" applyProtection="1">
      <alignment horizontal="left"/>
      <protection locked="0"/>
    </xf>
    <xf numFmtId="0" fontId="0" fillId="19" borderId="4" xfId="0" applyFill="1" applyBorder="1" applyAlignment="1" applyProtection="1">
      <alignment horizontal="left"/>
      <protection locked="0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2" fontId="1" fillId="4" borderId="2" xfId="0" applyNumberFormat="1" applyFont="1" applyFill="1" applyBorder="1" applyAlignment="1">
      <alignment horizontal="left"/>
    </xf>
    <xf numFmtId="2" fontId="1" fillId="4" borderId="3" xfId="0" applyNumberFormat="1" applyFont="1" applyFill="1" applyBorder="1" applyAlignment="1">
      <alignment horizontal="left"/>
    </xf>
    <xf numFmtId="2" fontId="1" fillId="4" borderId="4" xfId="0" applyNumberFormat="1" applyFont="1" applyFill="1" applyBorder="1" applyAlignment="1">
      <alignment horizontal="left"/>
    </xf>
    <xf numFmtId="0" fontId="8" fillId="5" borderId="0" xfId="0" applyFont="1" applyFill="1" applyAlignment="1">
      <alignment horizontal="left" wrapText="1"/>
    </xf>
    <xf numFmtId="0" fontId="19" fillId="5" borderId="0" xfId="0" applyFont="1" applyFill="1" applyAlignment="1">
      <alignment horizontal="left" wrapText="1"/>
    </xf>
    <xf numFmtId="0" fontId="3" fillId="10" borderId="2" xfId="0" applyFont="1" applyFill="1" applyBorder="1" applyAlignment="1">
      <alignment horizontal="left"/>
    </xf>
    <xf numFmtId="0" fontId="3" fillId="10" borderId="3" xfId="0" applyFont="1" applyFill="1" applyBorder="1" applyAlignment="1">
      <alignment horizontal="left"/>
    </xf>
    <xf numFmtId="0" fontId="3" fillId="10" borderId="4" xfId="0" applyFont="1" applyFill="1" applyBorder="1" applyAlignment="1">
      <alignment horizontal="left"/>
    </xf>
    <xf numFmtId="0" fontId="0" fillId="7" borderId="2" xfId="0" applyFill="1" applyBorder="1" applyAlignment="1">
      <alignment horizontal="left"/>
    </xf>
    <xf numFmtId="0" fontId="0" fillId="7" borderId="3" xfId="0" applyFill="1" applyBorder="1" applyAlignment="1">
      <alignment horizontal="left"/>
    </xf>
    <xf numFmtId="0" fontId="0" fillId="7" borderId="4" xfId="0" applyFill="1" applyBorder="1" applyAlignment="1">
      <alignment horizontal="left"/>
    </xf>
    <xf numFmtId="0" fontId="1" fillId="7" borderId="2" xfId="0" applyFont="1" applyFill="1" applyBorder="1" applyAlignment="1">
      <alignment horizontal="left"/>
    </xf>
    <xf numFmtId="0" fontId="1" fillId="7" borderId="3" xfId="0" applyFont="1" applyFill="1" applyBorder="1" applyAlignment="1">
      <alignment horizontal="left"/>
    </xf>
    <xf numFmtId="0" fontId="1" fillId="7" borderId="4" xfId="0" applyFont="1" applyFill="1" applyBorder="1" applyAlignment="1">
      <alignment horizontal="left"/>
    </xf>
    <xf numFmtId="0" fontId="3" fillId="17" borderId="2" xfId="0" applyFont="1" applyFill="1" applyBorder="1" applyAlignment="1">
      <alignment horizontal="left" wrapText="1"/>
    </xf>
    <xf numFmtId="0" fontId="3" fillId="17" borderId="3" xfId="0" applyFont="1" applyFill="1" applyBorder="1" applyAlignment="1">
      <alignment horizontal="left" wrapText="1"/>
    </xf>
    <xf numFmtId="0" fontId="3" fillId="17" borderId="4" xfId="0" applyFont="1" applyFill="1" applyBorder="1" applyAlignment="1">
      <alignment horizontal="left" wrapText="1"/>
    </xf>
    <xf numFmtId="0" fontId="0" fillId="14" borderId="1" xfId="0" applyFill="1" applyBorder="1" applyAlignment="1">
      <alignment horizontal="left"/>
    </xf>
    <xf numFmtId="0" fontId="1" fillId="14" borderId="1" xfId="0" applyFont="1" applyFill="1" applyBorder="1" applyAlignment="1">
      <alignment horizontal="left"/>
    </xf>
    <xf numFmtId="0" fontId="0" fillId="14" borderId="2" xfId="0" applyFill="1" applyBorder="1" applyAlignment="1">
      <alignment horizontal="left"/>
    </xf>
    <xf numFmtId="0" fontId="0" fillId="14" borderId="3" xfId="0" applyFill="1" applyBorder="1" applyAlignment="1">
      <alignment horizontal="left"/>
    </xf>
    <xf numFmtId="0" fontId="0" fillId="14" borderId="4" xfId="0" applyFill="1" applyBorder="1" applyAlignment="1">
      <alignment horizontal="left"/>
    </xf>
  </cellXfs>
  <cellStyles count="1">
    <cellStyle name="Standard" xfId="0" builtinId="0"/>
  </cellStyles>
  <dxfs count="2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FFCCCC"/>
      <color rgb="FF993300"/>
      <color rgb="FFCC3300"/>
      <color rgb="FFFF9999"/>
      <color rgb="FFEF75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de-DE">
                <a:solidFill>
                  <a:schemeClr val="bg1"/>
                </a:solidFill>
              </a:rPr>
              <a:t>Autarkiegrad ohne</a:t>
            </a:r>
            <a:r>
              <a:rPr lang="de-DE" baseline="0">
                <a:solidFill>
                  <a:schemeClr val="bg1"/>
                </a:solidFill>
              </a:rPr>
              <a:t> Speicher - 2023</a:t>
            </a:r>
            <a:endParaRPr lang="de-DE">
              <a:solidFill>
                <a:schemeClr val="bg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>
                        <a:lumMod val="9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Dateneingabe!$B$6:$B$17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Dateneingabe!$O$6:$O$17</c:f>
              <c:numCache>
                <c:formatCode>0.0%</c:formatCode>
                <c:ptCount val="12"/>
                <c:pt idx="0">
                  <c:v>5.4239877769289872E-3</c:v>
                </c:pt>
                <c:pt idx="1">
                  <c:v>2.338596841894895E-3</c:v>
                </c:pt>
                <c:pt idx="2">
                  <c:v>0.31791506137442882</c:v>
                </c:pt>
                <c:pt idx="3">
                  <c:v>0.39513753681793223</c:v>
                </c:pt>
                <c:pt idx="4">
                  <c:v>0.47058146891355612</c:v>
                </c:pt>
                <c:pt idx="5">
                  <c:v>0.48325085649029303</c:v>
                </c:pt>
                <c:pt idx="6">
                  <c:v>0.48792815907633103</c:v>
                </c:pt>
                <c:pt idx="7">
                  <c:v>0.4381100752172537</c:v>
                </c:pt>
                <c:pt idx="8">
                  <c:v>0.35055783910745736</c:v>
                </c:pt>
                <c:pt idx="9">
                  <c:v>0.23422638123317527</c:v>
                </c:pt>
                <c:pt idx="10">
                  <c:v>0.11860278238159815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F4-46EF-801F-19DA853D4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5015912"/>
        <c:axId val="615016632"/>
      </c:barChart>
      <c:catAx>
        <c:axId val="615015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5016632"/>
        <c:crosses val="autoZero"/>
        <c:auto val="1"/>
        <c:lblAlgn val="ctr"/>
        <c:lblOffset val="100"/>
        <c:noMultiLvlLbl val="0"/>
      </c:catAx>
      <c:valAx>
        <c:axId val="615016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5015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1">
        <a:lumMod val="75000"/>
        <a:lumOff val="2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Jahresverlauf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Dateneingabe!$L$5</c:f>
              <c:strCache>
                <c:ptCount val="1"/>
                <c:pt idx="0">
                  <c:v>Verbrauch aus dem Netz kWh</c:v>
                </c:pt>
              </c:strCache>
            </c:strRef>
          </c:tx>
          <c:spPr>
            <a:ln w="34925" cap="rnd">
              <a:solidFill>
                <a:srgbClr val="EF75E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Dateneingabe!$B$6:$B$17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Dateneingabe!$L$6:$L$17</c:f>
              <c:numCache>
                <c:formatCode>0.0</c:formatCode>
                <c:ptCount val="12"/>
                <c:pt idx="0">
                  <c:v>202</c:v>
                </c:pt>
                <c:pt idx="1">
                  <c:v>409</c:v>
                </c:pt>
                <c:pt idx="2">
                  <c:v>26.2</c:v>
                </c:pt>
                <c:pt idx="3">
                  <c:v>6</c:v>
                </c:pt>
                <c:pt idx="4">
                  <c:v>11.2</c:v>
                </c:pt>
                <c:pt idx="5">
                  <c:v>12.8</c:v>
                </c:pt>
                <c:pt idx="6">
                  <c:v>3.28</c:v>
                </c:pt>
                <c:pt idx="7">
                  <c:v>3.48</c:v>
                </c:pt>
                <c:pt idx="8">
                  <c:v>3.43</c:v>
                </c:pt>
                <c:pt idx="9">
                  <c:v>15.78</c:v>
                </c:pt>
                <c:pt idx="10">
                  <c:v>64.25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E6-4770-AFAB-05153119C025}"/>
            </c:ext>
          </c:extLst>
        </c:ser>
        <c:ser>
          <c:idx val="0"/>
          <c:order val="1"/>
          <c:tx>
            <c:strRef>
              <c:f>Dateneingabe!$C$5</c:f>
              <c:strCache>
                <c:ptCount val="1"/>
                <c:pt idx="0">
                  <c:v>PV-Ertrag     kWh</c:v>
                </c:pt>
              </c:strCache>
            </c:strRef>
          </c:tx>
          <c:spPr>
            <a:ln w="34925" cap="rnd">
              <a:solidFill>
                <a:srgbClr val="FFC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Dateneingabe!$B$6:$B$17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Dateneingabe!$C$6:$C$17</c:f>
              <c:numCache>
                <c:formatCode>#,##0.00</c:formatCode>
                <c:ptCount val="12"/>
                <c:pt idx="0">
                  <c:v>149.66999999999999</c:v>
                </c:pt>
                <c:pt idx="1">
                  <c:v>252.87</c:v>
                </c:pt>
                <c:pt idx="2">
                  <c:v>1296.8699999999999</c:v>
                </c:pt>
                <c:pt idx="3">
                  <c:v>2626.15</c:v>
                </c:pt>
                <c:pt idx="4">
                  <c:v>3760</c:v>
                </c:pt>
                <c:pt idx="5">
                  <c:v>3652.23</c:v>
                </c:pt>
                <c:pt idx="6">
                  <c:v>3373.83</c:v>
                </c:pt>
                <c:pt idx="7">
                  <c:v>2712.3</c:v>
                </c:pt>
                <c:pt idx="8">
                  <c:v>2934.44</c:v>
                </c:pt>
                <c:pt idx="9">
                  <c:v>1252.77</c:v>
                </c:pt>
                <c:pt idx="10">
                  <c:v>534.14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E6-4770-AFAB-05153119C025}"/>
            </c:ext>
          </c:extLst>
        </c:ser>
        <c:ser>
          <c:idx val="4"/>
          <c:order val="2"/>
          <c:tx>
            <c:strRef>
              <c:f>Dateneingabe!$M$5</c:f>
              <c:strCache>
                <c:ptCount val="1"/>
                <c:pt idx="0">
                  <c:v>Einspeisung</c:v>
                </c:pt>
              </c:strCache>
            </c:strRef>
          </c:tx>
          <c:spPr>
            <a:ln w="34925" cap="rnd">
              <a:solidFill>
                <a:srgbClr val="00B0F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Dateneingabe!$B$6:$B$17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Dateneingabe!$M$6:$M$17</c:f>
              <c:numCache>
                <c:formatCode>0.0</c:formatCode>
                <c:ptCount val="12"/>
                <c:pt idx="0">
                  <c:v>88.36</c:v>
                </c:pt>
                <c:pt idx="1">
                  <c:v>24.12</c:v>
                </c:pt>
                <c:pt idx="2">
                  <c:v>869.64</c:v>
                </c:pt>
                <c:pt idx="3">
                  <c:v>2225.0700000000002</c:v>
                </c:pt>
                <c:pt idx="4">
                  <c:v>3409.45</c:v>
                </c:pt>
                <c:pt idx="5">
                  <c:v>3282.15</c:v>
                </c:pt>
                <c:pt idx="6">
                  <c:v>2982.61</c:v>
                </c:pt>
                <c:pt idx="7">
                  <c:v>2298.9499999999998</c:v>
                </c:pt>
                <c:pt idx="8">
                  <c:v>2573.29</c:v>
                </c:pt>
                <c:pt idx="9">
                  <c:v>873.27</c:v>
                </c:pt>
                <c:pt idx="10">
                  <c:v>202.79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6E6-4770-AFAB-05153119C025}"/>
            </c:ext>
          </c:extLst>
        </c:ser>
        <c:ser>
          <c:idx val="1"/>
          <c:order val="3"/>
          <c:tx>
            <c:v>Batterieentladung</c:v>
          </c:tx>
          <c:spPr>
            <a:ln w="34925" cap="rnd">
              <a:solidFill>
                <a:schemeClr val="accent6">
                  <a:lumMod val="75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Dateneingabe!$H$6:$H$17</c:f>
              <c:numCache>
                <c:formatCode>0.00</c:formatCode>
                <c:ptCount val="12"/>
                <c:pt idx="0">
                  <c:v>58.38</c:v>
                </c:pt>
                <c:pt idx="1">
                  <c:v>90.13</c:v>
                </c:pt>
                <c:pt idx="2">
                  <c:v>278.31</c:v>
                </c:pt>
                <c:pt idx="3">
                  <c:v>236.32</c:v>
                </c:pt>
                <c:pt idx="4">
                  <c:v>172.9</c:v>
                </c:pt>
                <c:pt idx="5">
                  <c:v>177.25</c:v>
                </c:pt>
                <c:pt idx="6">
                  <c:v>196.3</c:v>
                </c:pt>
                <c:pt idx="7">
                  <c:v>227.35</c:v>
                </c:pt>
                <c:pt idx="8">
                  <c:v>228.83</c:v>
                </c:pt>
                <c:pt idx="9">
                  <c:v>282.91000000000003</c:v>
                </c:pt>
                <c:pt idx="10">
                  <c:v>284.12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6E6-4770-AFAB-05153119C025}"/>
            </c:ext>
          </c:extLst>
        </c:ser>
        <c:ser>
          <c:idx val="2"/>
          <c:order val="4"/>
          <c:tx>
            <c:strRef>
              <c:f>Dateneingabe!$E$5</c:f>
              <c:strCache>
                <c:ptCount val="1"/>
                <c:pt idx="0">
                  <c:v>Verbrauch von PV-System kWh</c:v>
                </c:pt>
              </c:strCache>
            </c:strRef>
          </c:tx>
          <c:spPr>
            <a:ln w="3492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Dateneingabe!$B$6:$B$17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Dateneingabe!$E$6:$E$17</c:f>
              <c:numCache>
                <c:formatCode>#,##0.00</c:formatCode>
                <c:ptCount val="12"/>
                <c:pt idx="0">
                  <c:v>59.800000000000011</c:v>
                </c:pt>
                <c:pt idx="1">
                  <c:v>91.300000000000011</c:v>
                </c:pt>
                <c:pt idx="2">
                  <c:v>420.24</c:v>
                </c:pt>
                <c:pt idx="3">
                  <c:v>394.62</c:v>
                </c:pt>
                <c:pt idx="4">
                  <c:v>336.54</c:v>
                </c:pt>
                <c:pt idx="5">
                  <c:v>354.97999999999996</c:v>
                </c:pt>
                <c:pt idx="6">
                  <c:v>386.47</c:v>
                </c:pt>
                <c:pt idx="7">
                  <c:v>407.33</c:v>
                </c:pt>
                <c:pt idx="8">
                  <c:v>354.2</c:v>
                </c:pt>
                <c:pt idx="9">
                  <c:v>374.27000000000004</c:v>
                </c:pt>
                <c:pt idx="10">
                  <c:v>331.35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6E6-4770-AFAB-05153119C0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9552992"/>
        <c:axId val="399553352"/>
      </c:lineChart>
      <c:catAx>
        <c:axId val="399552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9553352"/>
        <c:crosses val="autoZero"/>
        <c:auto val="1"/>
        <c:lblAlgn val="ctr"/>
        <c:lblOffset val="100"/>
        <c:noMultiLvlLbl val="0"/>
      </c:catAx>
      <c:valAx>
        <c:axId val="399553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9552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Autarkie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1515849548342322E-2"/>
          <c:y val="0.12463056504729361"/>
          <c:w val="0.90785592729178899"/>
          <c:h val="0.67697451258228258"/>
        </c:manualLayout>
      </c:layout>
      <c:barChart>
        <c:barDir val="col"/>
        <c:grouping val="clustered"/>
        <c:varyColors val="0"/>
        <c:ser>
          <c:idx val="5"/>
          <c:order val="0"/>
          <c:tx>
            <c:strRef>
              <c:f>Dateneingabe!$N$5</c:f>
              <c:strCache>
                <c:ptCount val="1"/>
                <c:pt idx="0">
                  <c:v>Autarkiegrad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accent5">
                  <a:lumMod val="40000"/>
                  <a:lumOff val="60000"/>
                </a:schemeClr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ln>
                      <a:noFill/>
                    </a:ln>
                    <a:solidFill>
                      <a:schemeClr val="bg1">
                        <a:lumMod val="9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Dateneingabe!$B$6:$B$17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Dateneingabe!$N$6:$N$17</c:f>
              <c:numCache>
                <c:formatCode>0.0%</c:formatCode>
                <c:ptCount val="12"/>
                <c:pt idx="0">
                  <c:v>0.22841864018334609</c:v>
                </c:pt>
                <c:pt idx="1">
                  <c:v>0.18249050569658207</c:v>
                </c:pt>
                <c:pt idx="2">
                  <c:v>0.94131350237433919</c:v>
                </c:pt>
                <c:pt idx="3">
                  <c:v>0.98502321401827164</c:v>
                </c:pt>
                <c:pt idx="4">
                  <c:v>0.96779202852706048</c:v>
                </c:pt>
                <c:pt idx="5">
                  <c:v>0.9651965849148948</c:v>
                </c:pt>
                <c:pt idx="6">
                  <c:v>0.99158434894162928</c:v>
                </c:pt>
                <c:pt idx="7">
                  <c:v>0.99152893064920522</c:v>
                </c:pt>
                <c:pt idx="8">
                  <c:v>0.9904090820121354</c:v>
                </c:pt>
                <c:pt idx="9">
                  <c:v>0.95954364825022442</c:v>
                </c:pt>
                <c:pt idx="10">
                  <c:v>0.83207774596956452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20-4928-9E96-E34C6A13F2E1}"/>
            </c:ext>
          </c:extLst>
        </c:ser>
        <c:ser>
          <c:idx val="0"/>
          <c:order val="1"/>
          <c:tx>
            <c:strRef>
              <c:f>Dateneingabe!$O$5</c:f>
              <c:strCache>
                <c:ptCount val="1"/>
                <c:pt idx="0">
                  <c:v>Autargiegrad ohne Speicher (theoretisch)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 w="9525">
              <a:solidFill>
                <a:srgbClr val="0070C0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Dateneingabe!$B$6:$B$17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Dateneingabe!$O$6:$O$17</c:f>
              <c:numCache>
                <c:formatCode>0.0%</c:formatCode>
                <c:ptCount val="12"/>
                <c:pt idx="0">
                  <c:v>5.4239877769289872E-3</c:v>
                </c:pt>
                <c:pt idx="1">
                  <c:v>2.338596841894895E-3</c:v>
                </c:pt>
                <c:pt idx="2">
                  <c:v>0.31791506137442882</c:v>
                </c:pt>
                <c:pt idx="3">
                  <c:v>0.39513753681793223</c:v>
                </c:pt>
                <c:pt idx="4">
                  <c:v>0.47058146891355612</c:v>
                </c:pt>
                <c:pt idx="5">
                  <c:v>0.48325085649029303</c:v>
                </c:pt>
                <c:pt idx="6">
                  <c:v>0.48792815907633103</c:v>
                </c:pt>
                <c:pt idx="7">
                  <c:v>0.4381100752172537</c:v>
                </c:pt>
                <c:pt idx="8">
                  <c:v>0.35055783910745736</c:v>
                </c:pt>
                <c:pt idx="9">
                  <c:v>0.23422638123317527</c:v>
                </c:pt>
                <c:pt idx="10">
                  <c:v>0.11860278238159815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20-4928-9E96-E34C6A13F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8159712"/>
        <c:axId val="1298161512"/>
      </c:barChart>
      <c:catAx>
        <c:axId val="1298159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8161512"/>
        <c:crossesAt val="0"/>
        <c:auto val="1"/>
        <c:lblAlgn val="ctr"/>
        <c:lblOffset val="100"/>
        <c:noMultiLvlLbl val="0"/>
      </c:catAx>
      <c:valAx>
        <c:axId val="1298161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4">
                  <a:lumMod val="20000"/>
                  <a:lumOff val="80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lt1">
                  <a:lumMod val="95000"/>
                  <a:alpha val="5000"/>
                </a:schemeClr>
              </a:solidFill>
            </a:ln>
            <a:effectLst/>
          </c:spPr>
        </c:min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8159712"/>
        <c:crosses val="autoZero"/>
        <c:crossBetween val="between"/>
      </c:valAx>
      <c:spPr>
        <a:gradFill>
          <a:gsLst>
            <a:gs pos="100000">
              <a:srgbClr val="FF0000">
                <a:alpha val="60000"/>
                <a:lumMod val="100000"/>
              </a:srgbClr>
            </a:gs>
            <a:gs pos="37000">
              <a:schemeClr val="accent6">
                <a:lumMod val="55000"/>
                <a:alpha val="32000"/>
              </a:schemeClr>
            </a:gs>
            <a:gs pos="69000">
              <a:schemeClr val="accent4">
                <a:lumMod val="60000"/>
                <a:lumOff val="40000"/>
              </a:schemeClr>
            </a:gs>
          </a:gsLst>
          <a:lin ang="5400000" scaled="1"/>
        </a:gra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DE"/>
              <a:t>Batterienutzung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6.2787896193826839E-2"/>
          <c:y val="0.12038713796000496"/>
          <c:w val="0.91492233683555513"/>
          <c:h val="0.68227814347807902"/>
        </c:manualLayout>
      </c:layout>
      <c:barChart>
        <c:barDir val="col"/>
        <c:grouping val="clustered"/>
        <c:varyColors val="0"/>
        <c:ser>
          <c:idx val="0"/>
          <c:order val="0"/>
          <c:tx>
            <c:v>Batterieentladungen in kWh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>
                        <a:lumMod val="9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Dateneingabe!$B$6:$B$17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Dateneingabe!$H$6:$H$17</c:f>
              <c:numCache>
                <c:formatCode>0.00</c:formatCode>
                <c:ptCount val="12"/>
                <c:pt idx="0">
                  <c:v>58.38</c:v>
                </c:pt>
                <c:pt idx="1">
                  <c:v>90.13</c:v>
                </c:pt>
                <c:pt idx="2">
                  <c:v>278.31</c:v>
                </c:pt>
                <c:pt idx="3">
                  <c:v>236.32</c:v>
                </c:pt>
                <c:pt idx="4">
                  <c:v>172.9</c:v>
                </c:pt>
                <c:pt idx="5">
                  <c:v>177.25</c:v>
                </c:pt>
                <c:pt idx="6">
                  <c:v>196.3</c:v>
                </c:pt>
                <c:pt idx="7">
                  <c:v>227.35</c:v>
                </c:pt>
                <c:pt idx="8">
                  <c:v>228.83</c:v>
                </c:pt>
                <c:pt idx="9">
                  <c:v>282.91000000000003</c:v>
                </c:pt>
                <c:pt idx="10">
                  <c:v>284.12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6-4B45-832F-B2419A2E72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5420864"/>
        <c:axId val="775424824"/>
      </c:barChart>
      <c:catAx>
        <c:axId val="775420864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75424824"/>
        <c:crosses val="autoZero"/>
        <c:auto val="1"/>
        <c:lblAlgn val="ctr"/>
        <c:lblOffset val="100"/>
        <c:noMultiLvlLbl val="0"/>
      </c:catAx>
      <c:valAx>
        <c:axId val="775424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6">
                  <a:lumMod val="40000"/>
                  <a:lumOff val="60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75420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DE"/>
              <a:t>Jahresübersicht</a:t>
            </a:r>
          </a:p>
        </c:rich>
      </c:tx>
      <c:layout>
        <c:manualLayout>
          <c:xMode val="edge"/>
          <c:yMode val="edge"/>
          <c:x val="0.41990924195359652"/>
          <c:y val="1.13073148465137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4.4015419673875213E-2"/>
          <c:y val="7.5544468355201705E-2"/>
          <c:w val="0.92303288611025369"/>
          <c:h val="0.79719936094944654"/>
        </c:manualLayout>
      </c:layout>
      <c:barChart>
        <c:barDir val="col"/>
        <c:grouping val="clustered"/>
        <c:varyColors val="0"/>
        <c:ser>
          <c:idx val="3"/>
          <c:order val="0"/>
          <c:tx>
            <c:v>Netzbezug</c:v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Dateneingabe!$B$6:$B$17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Dateneingabe!$L$6:$L$17</c:f>
              <c:numCache>
                <c:formatCode>0.0</c:formatCode>
                <c:ptCount val="12"/>
                <c:pt idx="0">
                  <c:v>202</c:v>
                </c:pt>
                <c:pt idx="1">
                  <c:v>409</c:v>
                </c:pt>
                <c:pt idx="2">
                  <c:v>26.2</c:v>
                </c:pt>
                <c:pt idx="3">
                  <c:v>6</c:v>
                </c:pt>
                <c:pt idx="4">
                  <c:v>11.2</c:v>
                </c:pt>
                <c:pt idx="5">
                  <c:v>12.8</c:v>
                </c:pt>
                <c:pt idx="6">
                  <c:v>3.28</c:v>
                </c:pt>
                <c:pt idx="7">
                  <c:v>3.48</c:v>
                </c:pt>
                <c:pt idx="8">
                  <c:v>3.43</c:v>
                </c:pt>
                <c:pt idx="9">
                  <c:v>15.78</c:v>
                </c:pt>
                <c:pt idx="10">
                  <c:v>64.25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0A-4D90-98AD-B539938590B4}"/>
            </c:ext>
          </c:extLst>
        </c:ser>
        <c:ser>
          <c:idx val="0"/>
          <c:order val="1"/>
          <c:tx>
            <c:v>PV-Ertrag ges.</c:v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Dateneingabe!$B$6:$B$17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Dateneingabe!$C$6:$C$17</c:f>
              <c:numCache>
                <c:formatCode>#,##0.00</c:formatCode>
                <c:ptCount val="12"/>
                <c:pt idx="0">
                  <c:v>149.66999999999999</c:v>
                </c:pt>
                <c:pt idx="1">
                  <c:v>252.87</c:v>
                </c:pt>
                <c:pt idx="2">
                  <c:v>1296.8699999999999</c:v>
                </c:pt>
                <c:pt idx="3">
                  <c:v>2626.15</c:v>
                </c:pt>
                <c:pt idx="4">
                  <c:v>3760</c:v>
                </c:pt>
                <c:pt idx="5">
                  <c:v>3652.23</c:v>
                </c:pt>
                <c:pt idx="6">
                  <c:v>3373.83</c:v>
                </c:pt>
                <c:pt idx="7">
                  <c:v>2712.3</c:v>
                </c:pt>
                <c:pt idx="8">
                  <c:v>2934.44</c:v>
                </c:pt>
                <c:pt idx="9">
                  <c:v>1252.77</c:v>
                </c:pt>
                <c:pt idx="10">
                  <c:v>534.14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0A-4D90-98AD-B539938590B4}"/>
            </c:ext>
          </c:extLst>
        </c:ser>
        <c:ser>
          <c:idx val="4"/>
          <c:order val="2"/>
          <c:tx>
            <c:v>Einspeisung</c:v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Dateneingabe!$B$6:$B$17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Dateneingabe!$M$6:$M$17</c:f>
              <c:numCache>
                <c:formatCode>0.0</c:formatCode>
                <c:ptCount val="12"/>
                <c:pt idx="0">
                  <c:v>88.36</c:v>
                </c:pt>
                <c:pt idx="1">
                  <c:v>24.12</c:v>
                </c:pt>
                <c:pt idx="2">
                  <c:v>869.64</c:v>
                </c:pt>
                <c:pt idx="3">
                  <c:v>2225.0700000000002</c:v>
                </c:pt>
                <c:pt idx="4">
                  <c:v>3409.45</c:v>
                </c:pt>
                <c:pt idx="5">
                  <c:v>3282.15</c:v>
                </c:pt>
                <c:pt idx="6">
                  <c:v>2982.61</c:v>
                </c:pt>
                <c:pt idx="7">
                  <c:v>2298.9499999999998</c:v>
                </c:pt>
                <c:pt idx="8">
                  <c:v>2573.29</c:v>
                </c:pt>
                <c:pt idx="9">
                  <c:v>873.27</c:v>
                </c:pt>
                <c:pt idx="10">
                  <c:v>202.79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0A-4D90-98AD-B539938590B4}"/>
            </c:ext>
          </c:extLst>
        </c:ser>
        <c:ser>
          <c:idx val="1"/>
          <c:order val="3"/>
          <c:tx>
            <c:v>Eigenverbrauch gesamt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Dateneingabe!$B$6:$B$17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Dateneingabe!$E$6:$E$17</c:f>
              <c:numCache>
                <c:formatCode>#,##0.00</c:formatCode>
                <c:ptCount val="12"/>
                <c:pt idx="0">
                  <c:v>59.800000000000011</c:v>
                </c:pt>
                <c:pt idx="1">
                  <c:v>91.300000000000011</c:v>
                </c:pt>
                <c:pt idx="2">
                  <c:v>420.24</c:v>
                </c:pt>
                <c:pt idx="3">
                  <c:v>394.62</c:v>
                </c:pt>
                <c:pt idx="4">
                  <c:v>336.54</c:v>
                </c:pt>
                <c:pt idx="5">
                  <c:v>354.97999999999996</c:v>
                </c:pt>
                <c:pt idx="6">
                  <c:v>386.47</c:v>
                </c:pt>
                <c:pt idx="7">
                  <c:v>407.33</c:v>
                </c:pt>
                <c:pt idx="8">
                  <c:v>354.2</c:v>
                </c:pt>
                <c:pt idx="9">
                  <c:v>374.27000000000004</c:v>
                </c:pt>
                <c:pt idx="10">
                  <c:v>331.35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0A-4D90-98AD-B539938590B4}"/>
            </c:ext>
          </c:extLst>
        </c:ser>
        <c:ser>
          <c:idx val="5"/>
          <c:order val="4"/>
          <c:tx>
            <c:v>Verbrauch vom Dach</c:v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val>
            <c:numRef>
              <c:f>Dateneingabe!$F$6:$F$17</c:f>
              <c:numCache>
                <c:formatCode>0.00</c:formatCode>
                <c:ptCount val="12"/>
                <c:pt idx="0">
                  <c:v>1.4200000000000088</c:v>
                </c:pt>
                <c:pt idx="1">
                  <c:v>1.1700000000000159</c:v>
                </c:pt>
                <c:pt idx="2">
                  <c:v>141.93</c:v>
                </c:pt>
                <c:pt idx="3">
                  <c:v>158.30000000000001</c:v>
                </c:pt>
                <c:pt idx="4">
                  <c:v>163.64000000000001</c:v>
                </c:pt>
                <c:pt idx="5">
                  <c:v>177.72999999999996</c:v>
                </c:pt>
                <c:pt idx="6">
                  <c:v>190.17000000000002</c:v>
                </c:pt>
                <c:pt idx="7">
                  <c:v>179.98</c:v>
                </c:pt>
                <c:pt idx="8">
                  <c:v>125.36999999999998</c:v>
                </c:pt>
                <c:pt idx="9">
                  <c:v>91.360000000000014</c:v>
                </c:pt>
                <c:pt idx="10">
                  <c:v>47.230000000000018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E0A-4D90-98AD-B539938590B4}"/>
            </c:ext>
          </c:extLst>
        </c:ser>
        <c:ser>
          <c:idx val="2"/>
          <c:order val="5"/>
          <c:tx>
            <c:v>Verbrauch aus Batterie</c:v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Dateneingabe!$B$6:$B$17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Dateneingabe!$H$6:$H$17</c:f>
              <c:numCache>
                <c:formatCode>0.00</c:formatCode>
                <c:ptCount val="12"/>
                <c:pt idx="0">
                  <c:v>58.38</c:v>
                </c:pt>
                <c:pt idx="1">
                  <c:v>90.13</c:v>
                </c:pt>
                <c:pt idx="2">
                  <c:v>278.31</c:v>
                </c:pt>
                <c:pt idx="3">
                  <c:v>236.32</c:v>
                </c:pt>
                <c:pt idx="4">
                  <c:v>172.9</c:v>
                </c:pt>
                <c:pt idx="5">
                  <c:v>177.25</c:v>
                </c:pt>
                <c:pt idx="6">
                  <c:v>196.3</c:v>
                </c:pt>
                <c:pt idx="7">
                  <c:v>227.35</c:v>
                </c:pt>
                <c:pt idx="8">
                  <c:v>228.83</c:v>
                </c:pt>
                <c:pt idx="9">
                  <c:v>282.91000000000003</c:v>
                </c:pt>
                <c:pt idx="10">
                  <c:v>284.12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E0A-4D90-98AD-B539938590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727555424"/>
        <c:axId val="1727555784"/>
      </c:barChart>
      <c:catAx>
        <c:axId val="172755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27555784"/>
        <c:crosses val="autoZero"/>
        <c:auto val="1"/>
        <c:lblAlgn val="ctr"/>
        <c:lblOffset val="100"/>
        <c:noMultiLvlLbl val="0"/>
      </c:catAx>
      <c:valAx>
        <c:axId val="1727555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27555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107</xdr:row>
      <xdr:rowOff>90487</xdr:rowOff>
    </xdr:from>
    <xdr:to>
      <xdr:col>10</xdr:col>
      <xdr:colOff>85725</xdr:colOff>
      <xdr:row>129</xdr:row>
      <xdr:rowOff>9525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82E93E15-67DD-317C-8E7D-9B991B7EE1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2</xdr:row>
      <xdr:rowOff>180976</xdr:rowOff>
    </xdr:from>
    <xdr:to>
      <xdr:col>15</xdr:col>
      <xdr:colOff>752474</xdr:colOff>
      <xdr:row>26</xdr:row>
      <xdr:rowOff>171450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A4E11ED7-CF4B-4256-AB07-C906162B96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27</xdr:row>
      <xdr:rowOff>9524</xdr:rowOff>
    </xdr:from>
    <xdr:to>
      <xdr:col>8</xdr:col>
      <xdr:colOff>447675</xdr:colOff>
      <xdr:row>48</xdr:row>
      <xdr:rowOff>190499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88CE476C-1E77-4055-8C25-44EEFDC8A5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466725</xdr:colOff>
      <xdr:row>27</xdr:row>
      <xdr:rowOff>9525</xdr:rowOff>
    </xdr:from>
    <xdr:to>
      <xdr:col>15</xdr:col>
      <xdr:colOff>752475</xdr:colOff>
      <xdr:row>49</xdr:row>
      <xdr:rowOff>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3A07F512-61EB-49E6-8A0F-691B15E11F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85725</xdr:colOff>
      <xdr:row>49</xdr:row>
      <xdr:rowOff>9525</xdr:rowOff>
    </xdr:from>
    <xdr:to>
      <xdr:col>15</xdr:col>
      <xdr:colOff>742950</xdr:colOff>
      <xdr:row>75</xdr:row>
      <xdr:rowOff>142874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B2116B54-3BA9-48BA-86E5-2FE408EAB4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0A830-134D-4562-8149-EE448B2C66A6}">
  <sheetPr>
    <tabColor rgb="FFFF0000"/>
  </sheetPr>
  <dimension ref="A1:F49"/>
  <sheetViews>
    <sheetView zoomScale="110" zoomScaleNormal="110" workbookViewId="0">
      <selection activeCell="C5" sqref="C5:E5"/>
    </sheetView>
  </sheetViews>
  <sheetFormatPr baseColWidth="10" defaultRowHeight="15" x14ac:dyDescent="0.25"/>
  <cols>
    <col min="1" max="1" width="3" customWidth="1"/>
    <col min="2" max="2" width="35.5703125" customWidth="1"/>
    <col min="4" max="4" width="13.28515625" customWidth="1"/>
    <col min="6" max="6" width="8.28515625" customWidth="1"/>
    <col min="7" max="7" width="7" customWidth="1"/>
  </cols>
  <sheetData>
    <row r="1" spans="1:6" ht="23.25" x14ac:dyDescent="0.35">
      <c r="A1" s="94"/>
      <c r="B1" s="129" t="s">
        <v>28</v>
      </c>
      <c r="C1" s="94"/>
      <c r="D1" s="94"/>
      <c r="E1" s="94"/>
      <c r="F1" s="94"/>
    </row>
    <row r="2" spans="1:6" x14ac:dyDescent="0.25">
      <c r="A2" s="94"/>
      <c r="B2" s="102" t="s">
        <v>45</v>
      </c>
      <c r="C2" s="102"/>
      <c r="D2" s="94"/>
      <c r="E2" s="94"/>
      <c r="F2" s="94"/>
    </row>
    <row r="3" spans="1:6" x14ac:dyDescent="0.25">
      <c r="A3" s="94"/>
      <c r="B3" s="94"/>
      <c r="C3" s="94"/>
      <c r="D3" s="94"/>
      <c r="E3" s="94"/>
      <c r="F3" s="94"/>
    </row>
    <row r="4" spans="1:6" x14ac:dyDescent="0.25">
      <c r="A4" s="94"/>
      <c r="B4" s="130" t="s">
        <v>46</v>
      </c>
      <c r="C4" s="162" t="s">
        <v>98</v>
      </c>
      <c r="D4" s="163"/>
      <c r="E4" s="164"/>
      <c r="F4" s="131"/>
    </row>
    <row r="5" spans="1:6" x14ac:dyDescent="0.25">
      <c r="A5" s="94"/>
      <c r="B5" s="130" t="s">
        <v>47</v>
      </c>
      <c r="C5" s="162" t="s">
        <v>99</v>
      </c>
      <c r="D5" s="163"/>
      <c r="E5" s="164"/>
      <c r="F5" s="131"/>
    </row>
    <row r="6" spans="1:6" x14ac:dyDescent="0.25">
      <c r="A6" s="94"/>
      <c r="B6" s="130" t="s">
        <v>48</v>
      </c>
      <c r="C6" s="56">
        <v>29.93</v>
      </c>
      <c r="D6" s="94" t="s">
        <v>49</v>
      </c>
      <c r="E6" s="94"/>
      <c r="F6" s="94"/>
    </row>
    <row r="7" spans="1:6" x14ac:dyDescent="0.25">
      <c r="A7" s="94"/>
      <c r="B7" s="99"/>
      <c r="C7" s="94"/>
      <c r="D7" s="94"/>
      <c r="E7" s="94"/>
      <c r="F7" s="94"/>
    </row>
    <row r="8" spans="1:6" x14ac:dyDescent="0.25">
      <c r="A8" s="94"/>
      <c r="B8" s="130" t="s">
        <v>50</v>
      </c>
      <c r="C8" s="57">
        <v>47000</v>
      </c>
      <c r="D8" s="94" t="s">
        <v>27</v>
      </c>
      <c r="E8" s="94"/>
      <c r="F8" s="94"/>
    </row>
    <row r="9" spans="1:6" x14ac:dyDescent="0.25">
      <c r="A9" s="94"/>
      <c r="B9" s="130" t="s">
        <v>51</v>
      </c>
      <c r="C9" s="58">
        <v>7500</v>
      </c>
      <c r="D9" s="94" t="s">
        <v>27</v>
      </c>
      <c r="E9" s="94"/>
      <c r="F9" s="94"/>
    </row>
    <row r="10" spans="1:6" x14ac:dyDescent="0.25">
      <c r="A10" s="94"/>
      <c r="B10" s="130" t="s">
        <v>52</v>
      </c>
      <c r="C10" s="59">
        <v>15</v>
      </c>
      <c r="D10" s="94" t="s">
        <v>53</v>
      </c>
      <c r="E10" s="94"/>
      <c r="F10" s="94"/>
    </row>
    <row r="11" spans="1:6" x14ac:dyDescent="0.25">
      <c r="A11" s="94"/>
      <c r="B11" s="130" t="s">
        <v>54</v>
      </c>
      <c r="C11" s="60">
        <v>0.1</v>
      </c>
      <c r="D11" s="94"/>
      <c r="E11" s="94"/>
      <c r="F11" s="94"/>
    </row>
    <row r="12" spans="1:6" x14ac:dyDescent="0.25">
      <c r="A12" s="94"/>
      <c r="B12" s="130" t="s">
        <v>55</v>
      </c>
      <c r="C12" s="61">
        <v>1</v>
      </c>
      <c r="D12" s="94"/>
      <c r="E12" s="94"/>
      <c r="F12" s="94"/>
    </row>
    <row r="13" spans="1:6" x14ac:dyDescent="0.25">
      <c r="A13" s="94"/>
      <c r="B13" s="130" t="s">
        <v>56</v>
      </c>
      <c r="C13" s="62">
        <v>11</v>
      </c>
      <c r="D13" s="94" t="s">
        <v>57</v>
      </c>
      <c r="E13" s="94"/>
      <c r="F13" s="94"/>
    </row>
    <row r="14" spans="1:6" x14ac:dyDescent="0.25">
      <c r="A14" s="94"/>
      <c r="B14" s="94"/>
      <c r="C14" s="94"/>
      <c r="D14" s="94"/>
      <c r="E14" s="94"/>
      <c r="F14" s="94"/>
    </row>
    <row r="15" spans="1:6" x14ac:dyDescent="0.25">
      <c r="A15" s="94"/>
      <c r="B15" s="130" t="s">
        <v>58</v>
      </c>
      <c r="C15" s="63">
        <v>2023</v>
      </c>
      <c r="D15" s="94"/>
      <c r="E15" s="94"/>
      <c r="F15" s="94"/>
    </row>
    <row r="16" spans="1:6" x14ac:dyDescent="0.25">
      <c r="A16" s="94"/>
      <c r="B16" s="130" t="s">
        <v>59</v>
      </c>
      <c r="C16" s="64">
        <v>0.4</v>
      </c>
      <c r="D16" s="94" t="s">
        <v>60</v>
      </c>
      <c r="E16" s="94"/>
      <c r="F16" s="94"/>
    </row>
    <row r="17" spans="1:6" x14ac:dyDescent="0.25">
      <c r="A17" s="94"/>
      <c r="B17" s="130" t="s">
        <v>61</v>
      </c>
      <c r="C17" s="133">
        <v>7.4700000000000003E-2</v>
      </c>
      <c r="D17" s="94" t="s">
        <v>60</v>
      </c>
      <c r="E17" s="94"/>
      <c r="F17" s="94"/>
    </row>
    <row r="18" spans="1:6" x14ac:dyDescent="0.25">
      <c r="A18" s="94"/>
      <c r="B18" s="130" t="s">
        <v>62</v>
      </c>
      <c r="C18" s="57">
        <v>0</v>
      </c>
      <c r="D18" s="94"/>
      <c r="E18" s="94"/>
      <c r="F18" s="94"/>
    </row>
    <row r="19" spans="1:6" x14ac:dyDescent="0.25">
      <c r="A19" s="94"/>
      <c r="B19" s="130" t="s">
        <v>96</v>
      </c>
      <c r="C19" s="82">
        <v>8.0000000000000002E-3</v>
      </c>
      <c r="D19" s="94" t="s">
        <v>73</v>
      </c>
      <c r="E19" s="94"/>
      <c r="F19" s="94"/>
    </row>
    <row r="20" spans="1:6" x14ac:dyDescent="0.25">
      <c r="A20" s="94"/>
      <c r="B20" s="130" t="s">
        <v>89</v>
      </c>
      <c r="C20" s="63">
        <v>25</v>
      </c>
      <c r="D20" s="94" t="s">
        <v>57</v>
      </c>
      <c r="E20" s="94"/>
      <c r="F20" s="94"/>
    </row>
    <row r="21" spans="1:6" x14ac:dyDescent="0.25">
      <c r="A21" s="94"/>
      <c r="B21" s="132"/>
      <c r="C21" s="161"/>
      <c r="D21" s="161"/>
      <c r="E21" s="161"/>
      <c r="F21" s="161"/>
    </row>
    <row r="22" spans="1:6" x14ac:dyDescent="0.25">
      <c r="A22" s="94"/>
      <c r="B22" s="130" t="s">
        <v>63</v>
      </c>
      <c r="C22" s="156">
        <v>0.02</v>
      </c>
      <c r="D22" s="94" t="str">
        <f>"/Jahr für " &amp; C8 &amp; " €"</f>
        <v>/Jahr für 47000 €</v>
      </c>
      <c r="E22" s="94"/>
      <c r="F22" s="94"/>
    </row>
    <row r="23" spans="1:6" x14ac:dyDescent="0.25">
      <c r="A23" s="94"/>
      <c r="B23" s="130" t="s">
        <v>90</v>
      </c>
      <c r="C23" s="82">
        <v>0.02</v>
      </c>
      <c r="D23" s="94" t="s">
        <v>73</v>
      </c>
      <c r="E23" s="94"/>
      <c r="F23" s="94"/>
    </row>
    <row r="24" spans="1:6" x14ac:dyDescent="0.25">
      <c r="A24" s="94"/>
      <c r="B24" s="130" t="s">
        <v>91</v>
      </c>
      <c r="C24" s="82">
        <v>0.01</v>
      </c>
      <c r="D24" s="94" t="s">
        <v>93</v>
      </c>
      <c r="E24" s="94"/>
      <c r="F24" s="94"/>
    </row>
    <row r="25" spans="1:6" x14ac:dyDescent="0.25">
      <c r="A25" s="94"/>
      <c r="B25" s="130" t="s">
        <v>92</v>
      </c>
      <c r="C25" s="83">
        <v>0.01</v>
      </c>
      <c r="D25" s="94" t="s">
        <v>93</v>
      </c>
      <c r="E25" s="94"/>
      <c r="F25" s="94"/>
    </row>
    <row r="26" spans="1:6" x14ac:dyDescent="0.25">
      <c r="A26" s="94"/>
      <c r="B26" s="94"/>
      <c r="C26" s="161"/>
      <c r="D26" s="161"/>
      <c r="E26" s="161"/>
      <c r="F26" s="161"/>
    </row>
    <row r="27" spans="1:6" x14ac:dyDescent="0.25">
      <c r="A27" s="94"/>
      <c r="B27" s="94"/>
      <c r="C27" s="161"/>
      <c r="D27" s="161"/>
      <c r="E27" s="161"/>
      <c r="F27" s="161"/>
    </row>
    <row r="28" spans="1:6" x14ac:dyDescent="0.25">
      <c r="A28" s="94"/>
      <c r="B28" s="94"/>
      <c r="C28" s="161"/>
      <c r="D28" s="161"/>
      <c r="E28" s="161"/>
      <c r="F28" s="161"/>
    </row>
    <row r="29" spans="1:6" x14ac:dyDescent="0.25">
      <c r="A29" s="94"/>
      <c r="B29" s="94"/>
      <c r="C29" s="161"/>
      <c r="D29" s="161"/>
      <c r="E29" s="161"/>
      <c r="F29" s="161"/>
    </row>
    <row r="30" spans="1:6" x14ac:dyDescent="0.25">
      <c r="A30" s="94"/>
      <c r="B30" s="94"/>
      <c r="C30" s="94"/>
      <c r="D30" s="94"/>
      <c r="E30" s="94"/>
      <c r="F30" s="94"/>
    </row>
    <row r="31" spans="1:6" x14ac:dyDescent="0.25">
      <c r="A31" s="94"/>
      <c r="B31" s="94"/>
      <c r="C31" s="94"/>
      <c r="D31" s="94"/>
      <c r="E31" s="94"/>
      <c r="F31" s="94"/>
    </row>
    <row r="32" spans="1:6" x14ac:dyDescent="0.25">
      <c r="A32" s="94"/>
      <c r="B32" s="94"/>
      <c r="C32" s="94"/>
      <c r="D32" s="94"/>
      <c r="E32" s="94"/>
      <c r="F32" s="94"/>
    </row>
    <row r="33" spans="1:6" x14ac:dyDescent="0.25">
      <c r="A33" s="94"/>
      <c r="B33" s="94"/>
      <c r="C33" s="94"/>
      <c r="D33" s="94"/>
      <c r="E33" s="94"/>
      <c r="F33" s="94"/>
    </row>
    <row r="34" spans="1:6" x14ac:dyDescent="0.25">
      <c r="A34" s="94"/>
      <c r="B34" s="94"/>
      <c r="C34" s="94"/>
      <c r="D34" s="94"/>
      <c r="E34" s="94"/>
      <c r="F34" s="94"/>
    </row>
    <row r="35" spans="1:6" x14ac:dyDescent="0.25">
      <c r="A35" s="94"/>
      <c r="B35" s="94"/>
      <c r="C35" s="94"/>
      <c r="D35" s="94"/>
      <c r="E35" s="94"/>
      <c r="F35" s="94"/>
    </row>
    <row r="36" spans="1:6" x14ac:dyDescent="0.25">
      <c r="A36" s="94"/>
      <c r="B36" s="94"/>
      <c r="C36" s="94"/>
      <c r="D36" s="94"/>
      <c r="E36" s="94"/>
      <c r="F36" s="94"/>
    </row>
    <row r="37" spans="1:6" x14ac:dyDescent="0.25">
      <c r="A37" s="94"/>
      <c r="B37" s="94"/>
      <c r="C37" s="94"/>
      <c r="D37" s="94"/>
      <c r="E37" s="94"/>
      <c r="F37" s="94"/>
    </row>
    <row r="38" spans="1:6" x14ac:dyDescent="0.25">
      <c r="A38" s="94"/>
      <c r="B38" s="94"/>
      <c r="C38" s="94"/>
      <c r="D38" s="94"/>
      <c r="E38" s="94"/>
      <c r="F38" s="94"/>
    </row>
    <row r="39" spans="1:6" x14ac:dyDescent="0.25">
      <c r="A39" s="94"/>
      <c r="B39" s="94"/>
      <c r="C39" s="94"/>
      <c r="D39" s="94"/>
      <c r="E39" s="94"/>
      <c r="F39" s="94"/>
    </row>
    <row r="40" spans="1:6" x14ac:dyDescent="0.25">
      <c r="A40" s="94"/>
      <c r="B40" s="94"/>
      <c r="C40" s="94"/>
      <c r="D40" s="94"/>
      <c r="E40" s="94"/>
      <c r="F40" s="94"/>
    </row>
    <row r="41" spans="1:6" x14ac:dyDescent="0.25">
      <c r="A41" s="94"/>
      <c r="B41" s="94"/>
      <c r="C41" s="94"/>
      <c r="D41" s="94"/>
      <c r="E41" s="94"/>
      <c r="F41" s="94"/>
    </row>
    <row r="42" spans="1:6" x14ac:dyDescent="0.25">
      <c r="A42" s="94"/>
      <c r="B42" s="94"/>
      <c r="C42" s="94"/>
      <c r="D42" s="94"/>
      <c r="E42" s="94"/>
      <c r="F42" s="94"/>
    </row>
    <row r="43" spans="1:6" x14ac:dyDescent="0.25">
      <c r="A43" s="94"/>
      <c r="B43" s="94"/>
      <c r="C43" s="94"/>
      <c r="D43" s="94"/>
      <c r="E43" s="94"/>
      <c r="F43" s="94"/>
    </row>
    <row r="44" spans="1:6" x14ac:dyDescent="0.25">
      <c r="A44" s="94"/>
      <c r="B44" s="94"/>
      <c r="C44" s="94"/>
      <c r="D44" s="94"/>
      <c r="E44" s="94"/>
      <c r="F44" s="94"/>
    </row>
    <row r="45" spans="1:6" x14ac:dyDescent="0.25">
      <c r="A45" s="94"/>
      <c r="B45" s="94"/>
      <c r="C45" s="94"/>
      <c r="D45" s="94"/>
      <c r="E45" s="94"/>
      <c r="F45" s="94"/>
    </row>
    <row r="46" spans="1:6" x14ac:dyDescent="0.25">
      <c r="A46" s="94"/>
      <c r="B46" s="94"/>
      <c r="C46" s="94"/>
      <c r="D46" s="94"/>
      <c r="E46" s="94"/>
      <c r="F46" s="94"/>
    </row>
    <row r="47" spans="1:6" x14ac:dyDescent="0.25">
      <c r="A47" s="94"/>
      <c r="B47" s="94"/>
      <c r="C47" s="94"/>
      <c r="D47" s="94"/>
      <c r="E47" s="94"/>
      <c r="F47" s="94"/>
    </row>
    <row r="48" spans="1:6" x14ac:dyDescent="0.25">
      <c r="A48" s="94"/>
      <c r="B48" s="94"/>
      <c r="C48" s="94"/>
      <c r="D48" s="94"/>
      <c r="E48" s="94"/>
      <c r="F48" s="94"/>
    </row>
    <row r="49" spans="1:6" x14ac:dyDescent="0.25">
      <c r="A49" s="94"/>
      <c r="B49" s="94"/>
      <c r="C49" s="94"/>
      <c r="D49" s="94"/>
      <c r="E49" s="94"/>
      <c r="F49" s="94"/>
    </row>
  </sheetData>
  <mergeCells count="7">
    <mergeCell ref="C4:E4"/>
    <mergeCell ref="C5:E5"/>
    <mergeCell ref="C21:F21"/>
    <mergeCell ref="C29:F29"/>
    <mergeCell ref="C26:F26"/>
    <mergeCell ref="C27:F27"/>
    <mergeCell ref="C28:F28"/>
  </mergeCells>
  <dataValidations count="11">
    <dataValidation allowBlank="1" showInputMessage="1" showErrorMessage="1" promptTitle="Hinweis" prompt="Kosten der kompletten PV-Anlage inkl. Speicher, ohne MwSt. Netto." sqref="C8" xr:uid="{AFEB33BC-C070-4BED-8B68-14C62D63D8AB}"/>
    <dataValidation allowBlank="1" showInputMessage="1" showErrorMessage="1" promptTitle="Hinweis" prompt="Kosten des Speichers alleine, ohne MwSt. Netto." sqref="C9" xr:uid="{AE74ED60-5ED7-4FB6-B477-59C471CFDE4C}"/>
    <dataValidation allowBlank="1" showInputMessage="1" showErrorMessage="1" promptTitle="Hinweis" prompt="Maximal nutzbare Speicherkapazität, unabhängig von minSOC und maxSOC_x000a_" sqref="C10" xr:uid="{153EEC4A-2400-4BA0-827F-7A9C3A22E71D}"/>
    <dataValidation allowBlank="1" showInputMessage="1" showErrorMessage="1" promptTitle="Hinweis" prompt="Hier bitte eintragen auf wieviel Prozent der Spaeicher maximal geladen werden kann, laut Einstellungen des Speichers, bezogen auf die Gesamtkapazität. " sqref="C12" xr:uid="{260C2DEF-2365-404A-B8F4-C578A13B1D43}"/>
    <dataValidation allowBlank="1" showInputMessage="1" showErrorMessage="1" promptTitle="Hinweis" prompt="Hier bitte eintragen auf wieviel Prozent der Spaeicher maximal entladen werden kann, laut Einstellungen des Speichers, bezogen auf die Gesamtkapazität. " sqref="C11" xr:uid="{BA57A162-69E9-4958-917D-61D915052860}"/>
    <dataValidation allowBlank="1" showInputMessage="1" showErrorMessage="1" promptTitle="Hinweis" prompt="Als Nutzungsdauer entweder die Garantiezeit in Jahren angeben oder eine selbst geschätzte Dauer, wenn nur sehr kurze Garantiezeiten gewährt wurden. Standard ist 10 Jahre" sqref="C13" xr:uid="{76092CBC-0711-41FE-84DC-228D98A996B9}"/>
    <dataValidation allowBlank="1" showInputMessage="1" showErrorMessage="1" promptTitle="Hinweis" prompt="Durchschnittlicher Jahresbezugspreis in €/kWh." sqref="C16" xr:uid="{AC41A7F4-C816-432F-86C8-C3BF90F09918}"/>
    <dataValidation allowBlank="1" showInputMessage="1" showErrorMessage="1" promptTitle="Hinweis" prompt="Bitte die tatsächliche jeweils für die eigene Anlage geltende Einspeisevergütung €/kWh eintragen." sqref="C17" xr:uid="{E1BB0295-0732-4F01-8D3D-57D0BD45ABE1}"/>
    <dataValidation allowBlank="1" showInputMessage="1" showErrorMessage="1" promptTitle="Hinweis" prompt="Wenn eine Förderung bekommen wurde, bitte eintragen, sonst leer lassen." sqref="C18" xr:uid="{953E1ED8-228C-442D-A4BC-13A7FD3BC6D1}"/>
    <dataValidation allowBlank="1" showInputMessage="1" showErrorMessage="1" promptTitle="Hinweis" prompt="Gewöhnlich sind es mind. 20 Jahre oder mehr." sqref="C20" xr:uid="{A43ABA6F-39CC-4B8A-95A1-8974C279637E}"/>
    <dataValidation allowBlank="1" showInputMessage="1" showErrorMessage="1" promptTitle="Hinweis" prompt="In Bezug auf Höhe der Gesamtinvestitionskosten!" sqref="C22" xr:uid="{1B5852D5-484F-483D-9911-A75BC769EEDA}"/>
  </dataValidation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79882-7F19-4544-832E-BFC9B0C1D4C6}">
  <sheetPr>
    <tabColor rgb="FF00B0F0"/>
    <pageSetUpPr fitToPage="1"/>
  </sheetPr>
  <dimension ref="A1:Z70"/>
  <sheetViews>
    <sheetView tabSelected="1" zoomScale="110" zoomScaleNormal="110" workbookViewId="0">
      <selection activeCell="E17" sqref="E17"/>
    </sheetView>
  </sheetViews>
  <sheetFormatPr baseColWidth="10" defaultRowHeight="15" x14ac:dyDescent="0.25"/>
  <cols>
    <col min="1" max="1" width="2.85546875" customWidth="1"/>
    <col min="2" max="2" width="15.5703125" customWidth="1"/>
    <col min="3" max="3" width="12.42578125" customWidth="1"/>
    <col min="4" max="4" width="11.42578125" customWidth="1"/>
    <col min="5" max="6" width="11.85546875" customWidth="1"/>
    <col min="7" max="7" width="9.85546875" customWidth="1"/>
    <col min="8" max="8" width="10.85546875" customWidth="1"/>
    <col min="9" max="9" width="11.28515625" customWidth="1"/>
    <col min="10" max="10" width="12.5703125" customWidth="1"/>
    <col min="11" max="11" width="10.42578125" customWidth="1"/>
    <col min="13" max="13" width="11.42578125" customWidth="1"/>
    <col min="14" max="14" width="12.7109375" customWidth="1"/>
    <col min="15" max="15" width="13" customWidth="1"/>
    <col min="16" max="16" width="3.140625" customWidth="1"/>
    <col min="17" max="17" width="12" customWidth="1"/>
    <col min="18" max="18" width="10.7109375" customWidth="1"/>
    <col min="19" max="19" width="12.85546875" customWidth="1"/>
    <col min="20" max="20" width="3.28515625" customWidth="1"/>
    <col min="21" max="21" width="9.7109375" customWidth="1"/>
    <col min="23" max="23" width="11" customWidth="1"/>
    <col min="25" max="25" width="10.85546875" customWidth="1"/>
  </cols>
  <sheetData>
    <row r="1" spans="1:24" ht="23.25" x14ac:dyDescent="0.35">
      <c r="A1" s="94"/>
      <c r="B1" s="106" t="str">
        <f>"Dateneingabe " &amp; Grunddaten!C15 &amp;", " &amp; Grunddaten!C4 &amp;", " &amp; Grunddaten!C5</f>
        <v>Dateneingabe 2023, Musterhausen, Muster-PV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</row>
    <row r="2" spans="1:24" x14ac:dyDescent="0.25">
      <c r="A2" s="94"/>
      <c r="B2" s="102" t="str">
        <f>Grunddaten!B2</f>
        <v>Excel-Tabelle von: Otter (photovoltaikforum.com)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</row>
    <row r="3" spans="1:24" x14ac:dyDescent="0.25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</row>
    <row r="4" spans="1:24" ht="15.75" x14ac:dyDescent="0.25">
      <c r="A4" s="94"/>
      <c r="B4" s="165">
        <f>Grunddaten!C15</f>
        <v>2023</v>
      </c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7"/>
      <c r="P4" s="138"/>
      <c r="Q4" s="94"/>
      <c r="R4" s="94"/>
      <c r="S4" s="94"/>
      <c r="T4" s="94"/>
      <c r="U4" s="94"/>
      <c r="V4" s="94"/>
    </row>
    <row r="5" spans="1:24" s="1" customFormat="1" ht="41.25" customHeight="1" x14ac:dyDescent="0.25">
      <c r="A5" s="107"/>
      <c r="B5" s="14"/>
      <c r="C5" s="17" t="s">
        <v>15</v>
      </c>
      <c r="D5" s="18" t="s">
        <v>21</v>
      </c>
      <c r="E5" s="19" t="s">
        <v>22</v>
      </c>
      <c r="F5" s="20" t="s">
        <v>23</v>
      </c>
      <c r="G5" s="21" t="s">
        <v>16</v>
      </c>
      <c r="H5" s="22" t="s">
        <v>19</v>
      </c>
      <c r="I5" s="21" t="s">
        <v>17</v>
      </c>
      <c r="J5" s="21" t="s">
        <v>20</v>
      </c>
      <c r="K5" s="23" t="s">
        <v>33</v>
      </c>
      <c r="L5" s="24" t="s">
        <v>24</v>
      </c>
      <c r="M5" s="25" t="s">
        <v>12</v>
      </c>
      <c r="N5" s="26" t="s">
        <v>25</v>
      </c>
      <c r="O5" s="135" t="s">
        <v>29</v>
      </c>
      <c r="P5" s="139"/>
      <c r="Q5" s="107"/>
      <c r="R5" s="107"/>
      <c r="S5" s="107"/>
      <c r="T5" s="107"/>
      <c r="U5" s="108"/>
      <c r="V5" s="108"/>
      <c r="W5" s="51"/>
      <c r="X5" s="51"/>
    </row>
    <row r="6" spans="1:24" x14ac:dyDescent="0.25">
      <c r="A6" s="94"/>
      <c r="B6" s="2" t="s">
        <v>0</v>
      </c>
      <c r="C6" s="65">
        <v>149.66999999999999</v>
      </c>
      <c r="D6" s="65">
        <v>261.8</v>
      </c>
      <c r="E6" s="10">
        <f>IF(AND(D6&lt;&gt;"",L6&lt;&gt;""),D6-L6,"")</f>
        <v>59.800000000000011</v>
      </c>
      <c r="F6" s="8">
        <f t="shared" ref="F6:F12" si="0">IF(H6="","",E6-H6)</f>
        <v>1.4200000000000088</v>
      </c>
      <c r="G6" s="66">
        <v>60.86</v>
      </c>
      <c r="H6" s="77">
        <v>58.38</v>
      </c>
      <c r="I6" s="11">
        <f t="shared" ref="I6:I16" si="1">IF(G6&lt;&gt;"",G6/15,"")</f>
        <v>4.0573333333333332</v>
      </c>
      <c r="J6" s="16">
        <f t="shared" ref="J6:J15" si="2">IF(H6="","",IF(H6&gt;G6,"Netzladung",(G6-H6)/H6))</f>
        <v>4.2480301473107177E-2</v>
      </c>
      <c r="K6" s="6">
        <f>IF(D6&lt;&gt;"",H6/D6,"")</f>
        <v>0.22299465240641711</v>
      </c>
      <c r="L6" s="67">
        <v>202</v>
      </c>
      <c r="M6" s="68">
        <v>88.36</v>
      </c>
      <c r="N6" s="15">
        <f t="shared" ref="N6:N16" si="3">IF(AND(C6&lt;&gt;"",D6&lt;&gt;""),E6/D6,"")</f>
        <v>0.22841864018334609</v>
      </c>
      <c r="O6" s="136">
        <f t="shared" ref="O6:O16" si="4">IF(AND(C6&lt;&gt;"",F6&lt;&gt;""),F6/D6,"")</f>
        <v>5.4239877769289872E-3</v>
      </c>
      <c r="P6" s="138"/>
      <c r="Q6" s="94"/>
      <c r="R6" s="94"/>
      <c r="S6" s="94"/>
      <c r="T6" s="94"/>
      <c r="U6" s="94"/>
      <c r="V6" s="94"/>
      <c r="X6" s="47"/>
    </row>
    <row r="7" spans="1:24" x14ac:dyDescent="0.25">
      <c r="A7" s="94"/>
      <c r="B7" s="2" t="s">
        <v>1</v>
      </c>
      <c r="C7" s="65">
        <v>252.87</v>
      </c>
      <c r="D7" s="65">
        <v>500.3</v>
      </c>
      <c r="E7" s="10">
        <f t="shared" ref="E7:E15" si="5">IF(AND(D7&lt;&gt;"",L7&lt;&gt;""),D7-L7,"")</f>
        <v>91.300000000000011</v>
      </c>
      <c r="F7" s="8">
        <f t="shared" si="0"/>
        <v>1.1700000000000159</v>
      </c>
      <c r="G7" s="66">
        <v>102.34</v>
      </c>
      <c r="H7" s="77">
        <v>90.13</v>
      </c>
      <c r="I7" s="11">
        <f t="shared" si="1"/>
        <v>6.8226666666666667</v>
      </c>
      <c r="J7" s="16">
        <f t="shared" si="2"/>
        <v>0.13547098635304569</v>
      </c>
      <c r="K7" s="6">
        <f t="shared" ref="K7:K17" si="6">IF(D7&lt;&gt;"",H7/D7,"")</f>
        <v>0.18015190885468718</v>
      </c>
      <c r="L7" s="67">
        <v>409</v>
      </c>
      <c r="M7" s="68">
        <v>24.12</v>
      </c>
      <c r="N7" s="15">
        <f t="shared" si="3"/>
        <v>0.18249050569658207</v>
      </c>
      <c r="O7" s="136">
        <f t="shared" si="4"/>
        <v>2.338596841894895E-3</v>
      </c>
      <c r="P7" s="138"/>
      <c r="Q7" s="94"/>
      <c r="R7" s="94"/>
      <c r="S7" s="94"/>
      <c r="T7" s="94"/>
      <c r="U7" s="94"/>
      <c r="V7" s="94"/>
      <c r="X7" s="28"/>
    </row>
    <row r="8" spans="1:24" x14ac:dyDescent="0.25">
      <c r="A8" s="94"/>
      <c r="B8" s="2" t="s">
        <v>2</v>
      </c>
      <c r="C8" s="65">
        <v>1296.8699999999999</v>
      </c>
      <c r="D8" s="65">
        <v>446.44</v>
      </c>
      <c r="E8" s="10">
        <f t="shared" si="5"/>
        <v>420.24</v>
      </c>
      <c r="F8" s="8">
        <f t="shared" si="0"/>
        <v>141.93</v>
      </c>
      <c r="G8" s="66">
        <v>284.86</v>
      </c>
      <c r="H8" s="77">
        <v>278.31</v>
      </c>
      <c r="I8" s="11">
        <f t="shared" si="1"/>
        <v>18.990666666666666</v>
      </c>
      <c r="J8" s="16">
        <f t="shared" si="2"/>
        <v>2.3534907117962026E-2</v>
      </c>
      <c r="K8" s="6">
        <f t="shared" si="6"/>
        <v>0.62339844099991037</v>
      </c>
      <c r="L8" s="67">
        <v>26.2</v>
      </c>
      <c r="M8" s="68">
        <v>869.64</v>
      </c>
      <c r="N8" s="15">
        <f t="shared" si="3"/>
        <v>0.94131350237433919</v>
      </c>
      <c r="O8" s="136">
        <f t="shared" si="4"/>
        <v>0.31791506137442882</v>
      </c>
      <c r="P8" s="138"/>
      <c r="Q8" s="94"/>
      <c r="R8" s="94"/>
      <c r="S8" s="94"/>
      <c r="T8" s="94"/>
      <c r="U8" s="94"/>
      <c r="V8" s="94"/>
      <c r="X8" s="28"/>
    </row>
    <row r="9" spans="1:24" x14ac:dyDescent="0.25">
      <c r="A9" s="94"/>
      <c r="B9" s="2" t="s">
        <v>3</v>
      </c>
      <c r="C9" s="65">
        <v>2626.15</v>
      </c>
      <c r="D9" s="65">
        <v>400.62</v>
      </c>
      <c r="E9" s="10">
        <f t="shared" si="5"/>
        <v>394.62</v>
      </c>
      <c r="F9" s="8">
        <f t="shared" si="0"/>
        <v>158.30000000000001</v>
      </c>
      <c r="G9" s="66">
        <v>244.18</v>
      </c>
      <c r="H9" s="77">
        <v>236.32</v>
      </c>
      <c r="I9" s="11">
        <f t="shared" si="1"/>
        <v>16.278666666666666</v>
      </c>
      <c r="J9" s="16">
        <f t="shared" si="2"/>
        <v>3.3259986459038653E-2</v>
      </c>
      <c r="K9" s="6">
        <f t="shared" si="6"/>
        <v>0.58988567720033946</v>
      </c>
      <c r="L9" s="67">
        <v>6</v>
      </c>
      <c r="M9" s="68">
        <v>2225.0700000000002</v>
      </c>
      <c r="N9" s="15">
        <f t="shared" si="3"/>
        <v>0.98502321401827164</v>
      </c>
      <c r="O9" s="136">
        <f t="shared" si="4"/>
        <v>0.39513753681793223</v>
      </c>
      <c r="P9" s="138"/>
      <c r="Q9" s="94"/>
      <c r="R9" s="94"/>
      <c r="S9" s="94"/>
      <c r="T9" s="94"/>
      <c r="U9" s="94"/>
      <c r="V9" s="94"/>
      <c r="X9" s="28"/>
    </row>
    <row r="10" spans="1:24" x14ac:dyDescent="0.25">
      <c r="A10" s="94"/>
      <c r="B10" s="2" t="s">
        <v>4</v>
      </c>
      <c r="C10" s="65">
        <v>3760</v>
      </c>
      <c r="D10" s="65">
        <v>347.74</v>
      </c>
      <c r="E10" s="10">
        <f t="shared" si="5"/>
        <v>336.54</v>
      </c>
      <c r="F10" s="8">
        <f t="shared" si="0"/>
        <v>163.64000000000001</v>
      </c>
      <c r="G10" s="66">
        <v>179.99</v>
      </c>
      <c r="H10" s="77">
        <v>172.9</v>
      </c>
      <c r="I10" s="11">
        <f t="shared" si="1"/>
        <v>11.999333333333334</v>
      </c>
      <c r="J10" s="16">
        <f t="shared" si="2"/>
        <v>4.1006362058993655E-2</v>
      </c>
      <c r="K10" s="6">
        <f t="shared" si="6"/>
        <v>0.49721055961350435</v>
      </c>
      <c r="L10" s="67">
        <v>11.2</v>
      </c>
      <c r="M10" s="68">
        <v>3409.45</v>
      </c>
      <c r="N10" s="15">
        <f t="shared" si="3"/>
        <v>0.96779202852706048</v>
      </c>
      <c r="O10" s="136">
        <f t="shared" si="4"/>
        <v>0.47058146891355612</v>
      </c>
      <c r="P10" s="138"/>
      <c r="Q10" s="94"/>
      <c r="R10" s="94"/>
      <c r="S10" s="94"/>
      <c r="T10" s="94"/>
      <c r="U10" s="94"/>
      <c r="V10" s="94"/>
      <c r="X10" s="48"/>
    </row>
    <row r="11" spans="1:24" x14ac:dyDescent="0.25">
      <c r="A11" s="94"/>
      <c r="B11" s="2" t="s">
        <v>5</v>
      </c>
      <c r="C11" s="65">
        <v>3652.23</v>
      </c>
      <c r="D11" s="65">
        <v>367.78</v>
      </c>
      <c r="E11" s="10">
        <f t="shared" si="5"/>
        <v>354.97999999999996</v>
      </c>
      <c r="F11" s="8">
        <f t="shared" si="0"/>
        <v>177.72999999999996</v>
      </c>
      <c r="G11" s="66">
        <v>182.7</v>
      </c>
      <c r="H11" s="77">
        <v>177.25</v>
      </c>
      <c r="I11" s="11">
        <f t="shared" si="1"/>
        <v>12.18</v>
      </c>
      <c r="J11" s="16">
        <f t="shared" si="2"/>
        <v>3.0747531734837734E-2</v>
      </c>
      <c r="K11" s="6">
        <f t="shared" si="6"/>
        <v>0.4819457284246017</v>
      </c>
      <c r="L11" s="67">
        <v>12.8</v>
      </c>
      <c r="M11" s="68">
        <v>3282.15</v>
      </c>
      <c r="N11" s="15">
        <f t="shared" si="3"/>
        <v>0.9651965849148948</v>
      </c>
      <c r="O11" s="136">
        <f t="shared" si="4"/>
        <v>0.48325085649029303</v>
      </c>
      <c r="P11" s="138"/>
      <c r="Q11" s="94"/>
      <c r="R11" s="94"/>
      <c r="S11" s="94"/>
      <c r="T11" s="94"/>
      <c r="U11" s="94"/>
      <c r="V11" s="94"/>
      <c r="X11" s="28"/>
    </row>
    <row r="12" spans="1:24" x14ac:dyDescent="0.25">
      <c r="A12" s="94"/>
      <c r="B12" s="2" t="s">
        <v>6</v>
      </c>
      <c r="C12" s="65">
        <v>3373.83</v>
      </c>
      <c r="D12" s="65">
        <v>389.75</v>
      </c>
      <c r="E12" s="10">
        <f t="shared" si="5"/>
        <v>386.47</v>
      </c>
      <c r="F12" s="8">
        <f t="shared" si="0"/>
        <v>190.17000000000002</v>
      </c>
      <c r="G12" s="66">
        <v>201.05</v>
      </c>
      <c r="H12" s="77">
        <v>196.3</v>
      </c>
      <c r="I12" s="11">
        <f t="shared" si="1"/>
        <v>13.403333333333334</v>
      </c>
      <c r="J12" s="16">
        <f t="shared" si="2"/>
        <v>2.4197656647987772E-2</v>
      </c>
      <c r="K12" s="6">
        <f t="shared" si="6"/>
        <v>0.50365618986529825</v>
      </c>
      <c r="L12" s="67">
        <v>3.28</v>
      </c>
      <c r="M12" s="68">
        <v>2982.61</v>
      </c>
      <c r="N12" s="15">
        <f t="shared" si="3"/>
        <v>0.99158434894162928</v>
      </c>
      <c r="O12" s="136">
        <f t="shared" si="4"/>
        <v>0.48792815907633103</v>
      </c>
      <c r="P12" s="138"/>
      <c r="Q12" s="94"/>
      <c r="R12" s="94"/>
      <c r="S12" s="94"/>
      <c r="T12" s="94"/>
      <c r="U12" s="94"/>
      <c r="V12" s="94"/>
      <c r="X12" s="49"/>
    </row>
    <row r="13" spans="1:24" x14ac:dyDescent="0.25">
      <c r="A13" s="94"/>
      <c r="B13" s="2" t="s">
        <v>7</v>
      </c>
      <c r="C13" s="65">
        <v>2712.3</v>
      </c>
      <c r="D13" s="65">
        <v>410.81</v>
      </c>
      <c r="E13" s="10">
        <f t="shared" si="5"/>
        <v>407.33</v>
      </c>
      <c r="F13" s="8">
        <f>IF(H13="","",E13-H13)</f>
        <v>179.98</v>
      </c>
      <c r="G13" s="66">
        <v>233.37</v>
      </c>
      <c r="H13" s="77">
        <v>227.35</v>
      </c>
      <c r="I13" s="11">
        <f t="shared" si="1"/>
        <v>15.558</v>
      </c>
      <c r="J13" s="16">
        <f t="shared" si="2"/>
        <v>2.6478997140972117E-2</v>
      </c>
      <c r="K13" s="6">
        <f t="shared" si="6"/>
        <v>0.55341885543195146</v>
      </c>
      <c r="L13" s="67">
        <v>3.48</v>
      </c>
      <c r="M13" s="68">
        <v>2298.9499999999998</v>
      </c>
      <c r="N13" s="15">
        <f t="shared" si="3"/>
        <v>0.99152893064920522</v>
      </c>
      <c r="O13" s="136">
        <f t="shared" si="4"/>
        <v>0.4381100752172537</v>
      </c>
      <c r="P13" s="138"/>
      <c r="Q13" s="94"/>
      <c r="R13" s="94"/>
      <c r="S13" s="94"/>
      <c r="T13" s="94"/>
      <c r="U13" s="94"/>
      <c r="V13" s="94"/>
    </row>
    <row r="14" spans="1:24" x14ac:dyDescent="0.25">
      <c r="A14" s="94"/>
      <c r="B14" s="2" t="s">
        <v>8</v>
      </c>
      <c r="C14" s="65">
        <v>2934.44</v>
      </c>
      <c r="D14" s="65">
        <v>357.63</v>
      </c>
      <c r="E14" s="10">
        <f t="shared" si="5"/>
        <v>354.2</v>
      </c>
      <c r="F14" s="8">
        <f t="shared" ref="F14:F16" si="7">IF(H14="","",E14-H14)</f>
        <v>125.36999999999998</v>
      </c>
      <c r="G14" s="66">
        <v>235.78</v>
      </c>
      <c r="H14" s="77">
        <v>228.83</v>
      </c>
      <c r="I14" s="11">
        <f t="shared" si="1"/>
        <v>15.718666666666667</v>
      </c>
      <c r="J14" s="16">
        <f t="shared" si="2"/>
        <v>3.0371891797404134E-2</v>
      </c>
      <c r="K14" s="6">
        <f t="shared" si="6"/>
        <v>0.6398512429046781</v>
      </c>
      <c r="L14" s="67">
        <v>3.43</v>
      </c>
      <c r="M14" s="68">
        <v>2573.29</v>
      </c>
      <c r="N14" s="15">
        <f t="shared" si="3"/>
        <v>0.9904090820121354</v>
      </c>
      <c r="O14" s="136">
        <f t="shared" si="4"/>
        <v>0.35055783910745736</v>
      </c>
      <c r="P14" s="138"/>
      <c r="Q14" s="94"/>
      <c r="R14" s="94"/>
      <c r="S14" s="94"/>
      <c r="T14" s="94"/>
      <c r="U14" s="94"/>
      <c r="V14" s="94"/>
    </row>
    <row r="15" spans="1:24" x14ac:dyDescent="0.25">
      <c r="A15" s="94"/>
      <c r="B15" s="2" t="s">
        <v>9</v>
      </c>
      <c r="C15" s="65">
        <v>1252.77</v>
      </c>
      <c r="D15" s="65">
        <v>390.05</v>
      </c>
      <c r="E15" s="10">
        <f t="shared" si="5"/>
        <v>374.27000000000004</v>
      </c>
      <c r="F15" s="8">
        <f t="shared" si="7"/>
        <v>91.360000000000014</v>
      </c>
      <c r="G15" s="66">
        <v>288.14</v>
      </c>
      <c r="H15" s="77">
        <v>282.91000000000003</v>
      </c>
      <c r="I15" s="11">
        <f t="shared" si="1"/>
        <v>19.209333333333333</v>
      </c>
      <c r="J15" s="16">
        <f t="shared" si="2"/>
        <v>1.8486444452299178E-2</v>
      </c>
      <c r="K15" s="6">
        <f t="shared" si="6"/>
        <v>0.72531726701704913</v>
      </c>
      <c r="L15" s="67">
        <v>15.78</v>
      </c>
      <c r="M15" s="68">
        <v>873.27</v>
      </c>
      <c r="N15" s="15">
        <f t="shared" si="3"/>
        <v>0.95954364825022442</v>
      </c>
      <c r="O15" s="136">
        <f t="shared" si="4"/>
        <v>0.23422638123317527</v>
      </c>
      <c r="P15" s="138"/>
      <c r="Q15" s="94"/>
      <c r="R15" s="94"/>
      <c r="S15" s="94"/>
      <c r="T15" s="94"/>
      <c r="U15" s="99"/>
      <c r="V15" s="99"/>
      <c r="W15" s="50"/>
      <c r="X15" s="50"/>
    </row>
    <row r="16" spans="1:24" x14ac:dyDescent="0.25">
      <c r="A16" s="94"/>
      <c r="B16" s="2" t="s">
        <v>10</v>
      </c>
      <c r="C16" s="65">
        <v>534.14</v>
      </c>
      <c r="D16" s="65">
        <v>398.22</v>
      </c>
      <c r="E16" s="10">
        <v>331.35</v>
      </c>
      <c r="F16" s="8">
        <f t="shared" si="7"/>
        <v>47.230000000000018</v>
      </c>
      <c r="G16" s="66">
        <v>280.11</v>
      </c>
      <c r="H16" s="77">
        <v>284.12</v>
      </c>
      <c r="I16" s="11">
        <f t="shared" si="1"/>
        <v>18.673999999999999</v>
      </c>
      <c r="J16" s="16" t="str">
        <f>IF(H16="","",IF(H16&gt;G16,"Netzladung",(G16-H16)/H16))</f>
        <v>Netzladung</v>
      </c>
      <c r="K16" s="6">
        <f t="shared" si="6"/>
        <v>0.71347496358796636</v>
      </c>
      <c r="L16" s="67">
        <v>64.25</v>
      </c>
      <c r="M16" s="68">
        <v>202.79</v>
      </c>
      <c r="N16" s="15">
        <f t="shared" si="3"/>
        <v>0.83207774596956452</v>
      </c>
      <c r="O16" s="136">
        <f t="shared" si="4"/>
        <v>0.11860278238159815</v>
      </c>
      <c r="P16" s="138"/>
      <c r="Q16" s="94"/>
      <c r="R16" s="94"/>
      <c r="S16" s="94"/>
      <c r="T16" s="94"/>
      <c r="U16" s="94"/>
      <c r="V16" s="94"/>
    </row>
    <row r="17" spans="1:26" x14ac:dyDescent="0.25">
      <c r="A17" s="94"/>
      <c r="B17" s="2" t="s">
        <v>11</v>
      </c>
      <c r="C17" s="65"/>
      <c r="D17" s="65"/>
      <c r="E17" s="9"/>
      <c r="F17" s="7"/>
      <c r="G17" s="66"/>
      <c r="H17" s="77"/>
      <c r="I17" s="11" t="str">
        <f>IF(G17&lt;&gt;"",G17/15,"")</f>
        <v/>
      </c>
      <c r="J17" s="16" t="str">
        <f>IF(H17="","",IF(H17&gt;G17,"Netzladung",(G17-H17)/H17))</f>
        <v/>
      </c>
      <c r="K17" s="6" t="str">
        <f t="shared" si="6"/>
        <v/>
      </c>
      <c r="L17" s="67"/>
      <c r="M17" s="68"/>
      <c r="N17" s="15" t="str">
        <f>IF(AND(C17&lt;&gt;"",D17&lt;&gt;""),E17/D17,"")</f>
        <v/>
      </c>
      <c r="O17" s="136" t="str">
        <f>IF(AND(C17&lt;&gt;"",F17&lt;&gt;""),F17/D17,"")</f>
        <v/>
      </c>
      <c r="P17" s="138"/>
      <c r="Q17" s="94"/>
      <c r="R17" s="94"/>
      <c r="S17" s="94"/>
      <c r="T17" s="94"/>
      <c r="U17" s="94"/>
      <c r="V17" s="94"/>
      <c r="X17" s="28"/>
    </row>
    <row r="18" spans="1:26" ht="23.25" customHeight="1" x14ac:dyDescent="0.25">
      <c r="A18" s="94"/>
      <c r="B18" s="52">
        <f>Grunddaten!C15</f>
        <v>2023</v>
      </c>
      <c r="C18" s="53">
        <f t="shared" ref="C18:L18" si="8">SUM(C6:C17)</f>
        <v>22545.269999999997</v>
      </c>
      <c r="D18" s="53">
        <f t="shared" si="8"/>
        <v>4271.1400000000003</v>
      </c>
      <c r="E18" s="53">
        <f t="shared" si="8"/>
        <v>3511.1</v>
      </c>
      <c r="F18" s="53">
        <f>SUM(F6:F17)</f>
        <v>1278.3000000000002</v>
      </c>
      <c r="G18" s="53">
        <f>SUM(G6:G17)</f>
        <v>2293.38</v>
      </c>
      <c r="H18" s="53">
        <f>SUM(H6:H17)</f>
        <v>2232.7999999999997</v>
      </c>
      <c r="I18" s="53">
        <f>SUM(I6:I17)</f>
        <v>152.892</v>
      </c>
      <c r="J18" s="54">
        <f>SUM(J6:J17)/COUNT(J6:J17)</f>
        <v>4.0603506523564821E-2</v>
      </c>
      <c r="K18" s="54">
        <f>SUM(K6:K17)/12</f>
        <v>0.47760879052553357</v>
      </c>
      <c r="L18" s="53">
        <f t="shared" si="8"/>
        <v>757.42</v>
      </c>
      <c r="M18" s="53">
        <f>SUM(M6:M17)</f>
        <v>18829.7</v>
      </c>
      <c r="N18" s="55">
        <f>SUM(N6:N17)/COUNT(N6:N17)</f>
        <v>0.82139802104884119</v>
      </c>
      <c r="O18" s="137">
        <f>SUM(O6:O17)/COUNT(O6:O17)</f>
        <v>0.30037024956644093</v>
      </c>
      <c r="P18" s="138"/>
      <c r="Q18" s="94"/>
      <c r="R18" s="94"/>
      <c r="S18" s="94"/>
      <c r="T18" s="94"/>
      <c r="U18" s="94"/>
      <c r="V18" s="94"/>
      <c r="X18" s="28"/>
    </row>
    <row r="19" spans="1:26" x14ac:dyDescent="0.25">
      <c r="A19" s="94"/>
      <c r="B19" s="109"/>
      <c r="C19" s="110"/>
      <c r="D19" s="111"/>
      <c r="E19" s="110"/>
      <c r="F19" s="112"/>
      <c r="G19" s="112"/>
      <c r="H19" s="113"/>
      <c r="I19" s="112"/>
      <c r="J19" s="114"/>
      <c r="K19" s="115"/>
      <c r="L19" s="112"/>
      <c r="M19" s="116"/>
      <c r="N19" s="117"/>
      <c r="O19" s="117"/>
      <c r="P19" s="103"/>
      <c r="Q19" s="103"/>
      <c r="R19" s="103"/>
      <c r="S19" s="103"/>
      <c r="T19" s="94"/>
      <c r="U19" s="94"/>
      <c r="V19" s="94"/>
      <c r="X19" s="28"/>
    </row>
    <row r="20" spans="1:26" x14ac:dyDescent="0.25">
      <c r="A20" s="94"/>
      <c r="B20" s="144"/>
      <c r="C20" s="145"/>
      <c r="D20" s="84"/>
      <c r="E20" s="145"/>
      <c r="F20" s="146"/>
      <c r="G20" s="118"/>
      <c r="H20" s="119"/>
      <c r="I20" s="118"/>
      <c r="J20" s="120"/>
      <c r="K20" s="121"/>
      <c r="L20" s="118"/>
      <c r="M20" s="122"/>
      <c r="N20" s="123"/>
      <c r="O20" s="123"/>
      <c r="P20" s="103"/>
      <c r="Q20" s="103"/>
      <c r="R20" s="103"/>
      <c r="S20" s="103"/>
      <c r="T20" s="94"/>
      <c r="U20" s="94"/>
      <c r="V20" s="94"/>
    </row>
    <row r="21" spans="1:26" ht="38.25" x14ac:dyDescent="0.25">
      <c r="A21" s="94"/>
      <c r="B21" s="14"/>
      <c r="C21" s="27" t="s">
        <v>32</v>
      </c>
      <c r="D21" s="27" t="s">
        <v>30</v>
      </c>
      <c r="E21" s="27" t="s">
        <v>31</v>
      </c>
      <c r="F21" s="27" t="s">
        <v>26</v>
      </c>
      <c r="G21" s="118"/>
      <c r="H21" s="119"/>
      <c r="I21" s="118"/>
      <c r="J21" s="120"/>
      <c r="K21" s="121"/>
      <c r="L21" s="118"/>
      <c r="M21" s="122"/>
      <c r="N21" s="123"/>
      <c r="O21" s="123"/>
      <c r="P21" s="103"/>
      <c r="Q21" s="103"/>
      <c r="R21" s="103"/>
      <c r="S21" s="103"/>
      <c r="T21" s="94"/>
      <c r="U21" s="94"/>
      <c r="V21" s="94"/>
      <c r="X21" s="28"/>
      <c r="Y21" s="28"/>
      <c r="Z21" s="28"/>
    </row>
    <row r="22" spans="1:26" x14ac:dyDescent="0.25">
      <c r="A22" s="94"/>
      <c r="B22" s="2" t="s">
        <v>0</v>
      </c>
      <c r="C22" s="3">
        <f>IF(C6="","",Grunddaten!C17*M6)</f>
        <v>6.600492</v>
      </c>
      <c r="D22" s="3">
        <f>IF(C6="","",E6*Grunddaten!C$16)</f>
        <v>23.920000000000005</v>
      </c>
      <c r="E22" s="57">
        <v>14.95</v>
      </c>
      <c r="F22" s="3">
        <f t="shared" ref="F22:F33" si="9">IF(C22="","",C22+D22-E22)</f>
        <v>15.570492000000005</v>
      </c>
      <c r="G22" s="118"/>
      <c r="H22" s="119"/>
      <c r="I22" s="118"/>
      <c r="J22" s="120"/>
      <c r="K22" s="121"/>
      <c r="L22" s="118"/>
      <c r="M22" s="122"/>
      <c r="N22" s="123"/>
      <c r="O22" s="123"/>
      <c r="P22" s="103"/>
      <c r="Q22" s="103"/>
      <c r="R22" s="103"/>
      <c r="S22" s="103"/>
      <c r="T22" s="94"/>
      <c r="U22" s="94"/>
      <c r="V22" s="94"/>
      <c r="X22" s="28"/>
    </row>
    <row r="23" spans="1:26" x14ac:dyDescent="0.25">
      <c r="A23" s="94"/>
      <c r="B23" s="2" t="s">
        <v>1</v>
      </c>
      <c r="C23" s="3">
        <f>IF(C7="","",Grunddaten!C17*M7)</f>
        <v>1.8017640000000001</v>
      </c>
      <c r="D23" s="3">
        <f>IF(C7="","",E7*Grunddaten!C16)</f>
        <v>36.520000000000003</v>
      </c>
      <c r="E23" s="57">
        <v>14.95</v>
      </c>
      <c r="F23" s="3">
        <f t="shared" si="9"/>
        <v>23.371764000000002</v>
      </c>
      <c r="G23" s="118"/>
      <c r="H23" s="119"/>
      <c r="I23" s="118"/>
      <c r="J23" s="120"/>
      <c r="K23" s="121"/>
      <c r="L23" s="118"/>
      <c r="M23" s="122"/>
      <c r="N23" s="123"/>
      <c r="O23" s="123"/>
      <c r="P23" s="103"/>
      <c r="Q23" s="103"/>
      <c r="R23" s="103"/>
      <c r="S23" s="103"/>
      <c r="T23" s="94"/>
      <c r="U23" s="94"/>
      <c r="V23" s="94"/>
      <c r="X23" s="49"/>
    </row>
    <row r="24" spans="1:26" x14ac:dyDescent="0.25">
      <c r="A24" s="94"/>
      <c r="B24" s="2" t="s">
        <v>2</v>
      </c>
      <c r="C24" s="3">
        <f>IF(C8="","",Grunddaten!C17*M8)</f>
        <v>64.962108000000001</v>
      </c>
      <c r="D24" s="3">
        <f>IF(C8="","",E8*Grunddaten!C16)</f>
        <v>168.096</v>
      </c>
      <c r="E24" s="57">
        <v>14.95</v>
      </c>
      <c r="F24" s="3">
        <f t="shared" si="9"/>
        <v>218.10810800000002</v>
      </c>
      <c r="G24" s="118"/>
      <c r="H24" s="119"/>
      <c r="I24" s="118"/>
      <c r="J24" s="120"/>
      <c r="K24" s="121"/>
      <c r="L24" s="118"/>
      <c r="M24" s="122"/>
      <c r="N24" s="123"/>
      <c r="O24" s="123"/>
      <c r="P24" s="103"/>
      <c r="Q24" s="103"/>
      <c r="R24" s="103"/>
      <c r="S24" s="103"/>
      <c r="T24" s="94"/>
      <c r="U24" s="94"/>
      <c r="V24" s="94"/>
    </row>
    <row r="25" spans="1:26" x14ac:dyDescent="0.25">
      <c r="A25" s="94"/>
      <c r="B25" s="2" t="s">
        <v>3</v>
      </c>
      <c r="C25" s="3">
        <f>IF(C9="","",Grunddaten!C17*M9)</f>
        <v>166.21272900000002</v>
      </c>
      <c r="D25" s="3">
        <f>IF(C9="","",E9*Grunddaten!C16)</f>
        <v>157.84800000000001</v>
      </c>
      <c r="E25" s="57">
        <v>14.95</v>
      </c>
      <c r="F25" s="3">
        <f t="shared" si="9"/>
        <v>309.11072900000005</v>
      </c>
      <c r="G25" s="118"/>
      <c r="H25" s="119"/>
      <c r="I25" s="118"/>
      <c r="J25" s="120"/>
      <c r="K25" s="121"/>
      <c r="L25" s="118"/>
      <c r="M25" s="122"/>
      <c r="N25" s="123"/>
      <c r="O25" s="123"/>
      <c r="P25" s="103"/>
      <c r="Q25" s="103"/>
      <c r="R25" s="103"/>
      <c r="S25" s="103"/>
      <c r="T25" s="94"/>
      <c r="U25" s="94"/>
      <c r="V25" s="94"/>
    </row>
    <row r="26" spans="1:26" x14ac:dyDescent="0.25">
      <c r="A26" s="94"/>
      <c r="B26" s="2" t="s">
        <v>4</v>
      </c>
      <c r="C26" s="3">
        <f>IF(C10="","",Grunddaten!C17*M10)</f>
        <v>254.68591499999999</v>
      </c>
      <c r="D26" s="3">
        <f>IF(C10="","",E10*Grunddaten!C16)</f>
        <v>134.61600000000001</v>
      </c>
      <c r="E26" s="57">
        <v>14.95</v>
      </c>
      <c r="F26" s="3">
        <f t="shared" si="9"/>
        <v>374.35191500000002</v>
      </c>
      <c r="G26" s="118"/>
      <c r="H26" s="119"/>
      <c r="I26" s="118"/>
      <c r="J26" s="120"/>
      <c r="K26" s="121"/>
      <c r="L26" s="118"/>
      <c r="M26" s="122"/>
      <c r="N26" s="123"/>
      <c r="O26" s="123"/>
      <c r="P26" s="103"/>
      <c r="Q26" s="103"/>
      <c r="R26" s="103"/>
      <c r="S26" s="103"/>
      <c r="T26" s="94"/>
      <c r="U26" s="94"/>
      <c r="V26" s="94"/>
    </row>
    <row r="27" spans="1:26" x14ac:dyDescent="0.25">
      <c r="A27" s="94"/>
      <c r="B27" s="2" t="s">
        <v>5</v>
      </c>
      <c r="C27" s="3">
        <f>IF(C11="","",Grunddaten!C17*M11)</f>
        <v>245.17660500000002</v>
      </c>
      <c r="D27" s="3">
        <f>IF(C11="","",E11*Grunddaten!C16)</f>
        <v>141.99199999999999</v>
      </c>
      <c r="E27" s="57">
        <v>14.95</v>
      </c>
      <c r="F27" s="3">
        <f t="shared" si="9"/>
        <v>372.21860500000003</v>
      </c>
      <c r="G27" s="118"/>
      <c r="H27" s="119"/>
      <c r="I27" s="118"/>
      <c r="J27" s="120"/>
      <c r="K27" s="121"/>
      <c r="L27" s="118"/>
      <c r="M27" s="122"/>
      <c r="N27" s="123"/>
      <c r="O27" s="123"/>
      <c r="P27" s="103"/>
      <c r="Q27" s="103"/>
      <c r="R27" s="103"/>
      <c r="S27" s="103"/>
      <c r="T27" s="94"/>
      <c r="U27" s="94"/>
      <c r="V27" s="94"/>
    </row>
    <row r="28" spans="1:26" x14ac:dyDescent="0.25">
      <c r="A28" s="94"/>
      <c r="B28" s="2" t="s">
        <v>6</v>
      </c>
      <c r="C28" s="3">
        <f>IF(C12="","",Grunddaten!C17*M12)</f>
        <v>222.80096700000001</v>
      </c>
      <c r="D28" s="3">
        <f>IF(C12="","",E12*Grunddaten!C16)</f>
        <v>154.58800000000002</v>
      </c>
      <c r="E28" s="57">
        <v>14.95</v>
      </c>
      <c r="F28" s="3">
        <f t="shared" si="9"/>
        <v>362.43896700000005</v>
      </c>
      <c r="G28" s="118"/>
      <c r="H28" s="119"/>
      <c r="I28" s="118"/>
      <c r="J28" s="120"/>
      <c r="K28" s="121"/>
      <c r="L28" s="118"/>
      <c r="M28" s="122"/>
      <c r="N28" s="123"/>
      <c r="O28" s="123"/>
      <c r="P28" s="103"/>
      <c r="Q28" s="103"/>
      <c r="R28" s="103"/>
      <c r="S28" s="103"/>
      <c r="T28" s="94"/>
      <c r="U28" s="94"/>
      <c r="V28" s="94"/>
    </row>
    <row r="29" spans="1:26" x14ac:dyDescent="0.25">
      <c r="A29" s="94"/>
      <c r="B29" s="2" t="s">
        <v>7</v>
      </c>
      <c r="C29" s="3">
        <f>IF(C13="","",Grunddaten!C17*M13)</f>
        <v>171.73156499999999</v>
      </c>
      <c r="D29" s="3">
        <f>IF(C13="","",E13*Grunddaten!C16)</f>
        <v>162.93200000000002</v>
      </c>
      <c r="E29" s="57">
        <v>14.95</v>
      </c>
      <c r="F29" s="3">
        <f t="shared" si="9"/>
        <v>319.71356500000002</v>
      </c>
      <c r="G29" s="118"/>
      <c r="H29" s="119"/>
      <c r="I29" s="118"/>
      <c r="J29" s="120"/>
      <c r="K29" s="121"/>
      <c r="L29" s="118"/>
      <c r="M29" s="122"/>
      <c r="N29" s="123"/>
      <c r="O29" s="123"/>
      <c r="P29" s="103"/>
      <c r="Q29" s="103"/>
      <c r="R29" s="103"/>
      <c r="S29" s="103"/>
      <c r="T29" s="94"/>
      <c r="U29" s="94"/>
      <c r="V29" s="94"/>
    </row>
    <row r="30" spans="1:26" x14ac:dyDescent="0.25">
      <c r="A30" s="94"/>
      <c r="B30" s="2" t="s">
        <v>8</v>
      </c>
      <c r="C30" s="3">
        <f>IF(C14="","",Grunddaten!C17*M14)</f>
        <v>192.224763</v>
      </c>
      <c r="D30" s="3">
        <f>IF(C14="","",E14*Grunddaten!C16)</f>
        <v>141.68</v>
      </c>
      <c r="E30" s="57">
        <v>14.95</v>
      </c>
      <c r="F30" s="3">
        <f t="shared" si="9"/>
        <v>318.95476300000001</v>
      </c>
      <c r="G30" s="118"/>
      <c r="H30" s="119"/>
      <c r="I30" s="118"/>
      <c r="J30" s="120"/>
      <c r="K30" s="121"/>
      <c r="L30" s="118"/>
      <c r="M30" s="122"/>
      <c r="N30" s="123"/>
      <c r="O30" s="123"/>
      <c r="P30" s="103"/>
      <c r="Q30" s="103"/>
      <c r="R30" s="103"/>
      <c r="S30" s="103"/>
      <c r="T30" s="94"/>
      <c r="U30" s="94"/>
      <c r="V30" s="94"/>
    </row>
    <row r="31" spans="1:26" ht="15.75" x14ac:dyDescent="0.25">
      <c r="A31" s="94"/>
      <c r="B31" s="2" t="s">
        <v>9</v>
      </c>
      <c r="C31" s="3">
        <f>IF(C15="","",Grunddaten!C17*M15)</f>
        <v>65.233269000000007</v>
      </c>
      <c r="D31" s="3">
        <f>IF(C15="","",E15*Grunddaten!C16)</f>
        <v>149.70800000000003</v>
      </c>
      <c r="E31" s="57">
        <v>14.95</v>
      </c>
      <c r="F31" s="3">
        <f t="shared" si="9"/>
        <v>199.99126900000005</v>
      </c>
      <c r="G31" s="124"/>
      <c r="H31" s="124"/>
      <c r="I31" s="125"/>
      <c r="J31" s="126"/>
      <c r="K31" s="126"/>
      <c r="L31" s="124"/>
      <c r="M31" s="124"/>
      <c r="N31" s="127"/>
      <c r="O31" s="127"/>
      <c r="P31" s="128"/>
      <c r="Q31" s="128"/>
      <c r="R31" s="128"/>
      <c r="S31" s="128"/>
      <c r="T31" s="94"/>
      <c r="U31" s="94"/>
      <c r="V31" s="94"/>
    </row>
    <row r="32" spans="1:26" x14ac:dyDescent="0.25">
      <c r="A32" s="94"/>
      <c r="B32" s="2" t="s">
        <v>10</v>
      </c>
      <c r="C32" s="3">
        <f>IF(C16="","",Grunddaten!C17*M16)</f>
        <v>15.148413</v>
      </c>
      <c r="D32" s="3">
        <f>IF(C16="","",E16*Grunddaten!C16)</f>
        <v>132.54000000000002</v>
      </c>
      <c r="E32" s="57">
        <v>14.95</v>
      </c>
      <c r="F32" s="3">
        <f t="shared" si="9"/>
        <v>132.73841300000004</v>
      </c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</row>
    <row r="33" spans="1:22" x14ac:dyDescent="0.25">
      <c r="A33" s="94"/>
      <c r="B33" s="2" t="s">
        <v>11</v>
      </c>
      <c r="C33" s="3" t="str">
        <f>IF(C17="","",Grunddaten!C17*M17)</f>
        <v/>
      </c>
      <c r="D33" s="3" t="str">
        <f>IF(C17="","",E17*Grunddaten!C16)</f>
        <v/>
      </c>
      <c r="E33" s="57"/>
      <c r="F33" s="3" t="str">
        <f t="shared" si="9"/>
        <v/>
      </c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</row>
    <row r="34" spans="1:22" ht="15.75" x14ac:dyDescent="0.25">
      <c r="A34" s="94"/>
      <c r="B34" s="140">
        <f>Grunddaten!C15</f>
        <v>2023</v>
      </c>
      <c r="C34" s="141">
        <f>SUM(C22:C33)</f>
        <v>1406.5785899999998</v>
      </c>
      <c r="D34" s="141">
        <f t="shared" ref="D34:F34" si="10">SUM(D22:D33)</f>
        <v>1404.44</v>
      </c>
      <c r="E34" s="141">
        <f t="shared" si="10"/>
        <v>164.45</v>
      </c>
      <c r="F34" s="141">
        <f t="shared" si="10"/>
        <v>2646.5685900000003</v>
      </c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</row>
    <row r="35" spans="1:22" x14ac:dyDescent="0.25">
      <c r="A35" s="94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</row>
    <row r="36" spans="1:22" x14ac:dyDescent="0.25">
      <c r="A36" s="94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</row>
    <row r="37" spans="1:22" x14ac:dyDescent="0.25">
      <c r="A37" s="94"/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</row>
    <row r="38" spans="1:22" x14ac:dyDescent="0.25">
      <c r="A38" s="94"/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</row>
    <row r="70" spans="22:22" ht="21" x14ac:dyDescent="0.25">
      <c r="V70" s="5"/>
    </row>
  </sheetData>
  <sheetProtection algorithmName="SHA-512" hashValue="wGjSV2t9kszV+Iqt3RsAHyYwueL7ZP3eMTMDlbfPuc8hJOrKrlmVTTyNtzCawaLJOSdjEORVeaKoIBY9TJNCfg==" saltValue="rQJuD9XIYlkqD3q4+9qp1w==" spinCount="100000" sheet="1" objects="1" scenarios="1"/>
  <mergeCells count="1">
    <mergeCell ref="B4:O4"/>
  </mergeCells>
  <phoneticPr fontId="2" type="noConversion"/>
  <conditionalFormatting sqref="C6:C17">
    <cfRule type="dataBar" priority="1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{E0186C9C-0D84-4576-8670-217F12004397}</x14:id>
        </ext>
      </extLst>
    </cfRule>
  </conditionalFormatting>
  <conditionalFormatting sqref="C19:C20">
    <cfRule type="dataBar" priority="40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{84B6D03D-675B-47C1-8E11-F1988397EC79}</x14:id>
        </ext>
      </extLst>
    </cfRule>
  </conditionalFormatting>
  <conditionalFormatting sqref="C22:C33">
    <cfRule type="top10" dxfId="22" priority="6" percent="1" bottom="1" rank="20"/>
    <cfRule type="top10" dxfId="21" priority="7" percent="1" rank="20"/>
  </conditionalFormatting>
  <conditionalFormatting sqref="D6:D17">
    <cfRule type="dataBar" priority="19">
      <dataBar>
        <cfvo type="min"/>
        <cfvo type="max"/>
        <color theme="5" tint="0.59999389629810485"/>
      </dataBar>
      <extLst>
        <ext xmlns:x14="http://schemas.microsoft.com/office/spreadsheetml/2009/9/main" uri="{B025F937-C7B1-47D3-B67F-A62EFF666E3E}">
          <x14:id>{A22CFAF9-5521-4A95-814E-5DBCED6DF4B3}</x14:id>
        </ext>
      </extLst>
    </cfRule>
  </conditionalFormatting>
  <conditionalFormatting sqref="D19:D20">
    <cfRule type="dataBar" priority="41">
      <dataBar>
        <cfvo type="min"/>
        <cfvo type="max"/>
        <color theme="5" tint="0.59999389629810485"/>
      </dataBar>
      <extLst>
        <ext xmlns:x14="http://schemas.microsoft.com/office/spreadsheetml/2009/9/main" uri="{B025F937-C7B1-47D3-B67F-A62EFF666E3E}">
          <x14:id>{D3F434D1-44CC-471C-95A9-4728C8F42803}</x14:id>
        </ext>
      </extLst>
    </cfRule>
  </conditionalFormatting>
  <conditionalFormatting sqref="D22:D33">
    <cfRule type="top10" dxfId="20" priority="1" percent="1" bottom="1" rank="20"/>
    <cfRule type="top10" dxfId="19" priority="2" percent="1" rank="20"/>
  </conditionalFormatting>
  <conditionalFormatting sqref="E6:E17">
    <cfRule type="dataBar" priority="12">
      <dataBar>
        <cfvo type="min"/>
        <cfvo type="max"/>
        <color theme="5" tint="0.79998168889431442"/>
      </dataBar>
      <extLst>
        <ext xmlns:x14="http://schemas.microsoft.com/office/spreadsheetml/2009/9/main" uri="{B025F937-C7B1-47D3-B67F-A62EFF666E3E}">
          <x14:id>{4C8EA8AB-FBAA-483A-8395-8D3DEF873ECC}</x14:id>
        </ext>
      </extLst>
    </cfRule>
  </conditionalFormatting>
  <conditionalFormatting sqref="E19:E20">
    <cfRule type="dataBar" priority="42">
      <dataBar>
        <cfvo type="min"/>
        <cfvo type="max"/>
        <color theme="5" tint="0.79998168889431442"/>
      </dataBar>
      <extLst>
        <ext xmlns:x14="http://schemas.microsoft.com/office/spreadsheetml/2009/9/main" uri="{B025F937-C7B1-47D3-B67F-A62EFF666E3E}">
          <x14:id>{62CCBD9A-4FC7-46DC-AABB-74A5ED512229}</x14:id>
        </ext>
      </extLst>
    </cfRule>
  </conditionalFormatting>
  <conditionalFormatting sqref="F6:F17">
    <cfRule type="dataBar" priority="11">
      <dataBar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{CBD3E8A0-0663-4059-B62C-7A1E1EA06D36}</x14:id>
        </ext>
      </extLst>
    </cfRule>
  </conditionalFormatting>
  <conditionalFormatting sqref="F19:F20">
    <cfRule type="dataBar" priority="43">
      <dataBar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{2C689C55-BBDF-44AA-86B1-671FF41CB742}</x14:id>
        </ext>
      </extLst>
    </cfRule>
  </conditionalFormatting>
  <conditionalFormatting sqref="F22:F33">
    <cfRule type="top10" dxfId="18" priority="4" percent="1" bottom="1" rank="20"/>
    <cfRule type="top10" dxfId="17" priority="5" percent="1" rank="20"/>
  </conditionalFormatting>
  <conditionalFormatting sqref="G6:G17">
    <cfRule type="dataBar" priority="3">
      <dataBar>
        <cfvo type="min"/>
        <cfvo type="max"/>
        <color theme="2" tint="-9.9978637043366805E-2"/>
      </dataBar>
      <extLst>
        <ext xmlns:x14="http://schemas.microsoft.com/office/spreadsheetml/2009/9/main" uri="{B025F937-C7B1-47D3-B67F-A62EFF666E3E}">
          <x14:id>{4DE1775A-7B6B-48CC-B538-884B4EE2B4B5}</x14:id>
        </ext>
      </extLst>
    </cfRule>
  </conditionalFormatting>
  <conditionalFormatting sqref="H6:H17">
    <cfRule type="dataBar" priority="17">
      <dataBar>
        <cfvo type="min"/>
        <cfvo type="max"/>
        <color theme="9" tint="0.59999389629810485"/>
      </dataBar>
      <extLst>
        <ext xmlns:x14="http://schemas.microsoft.com/office/spreadsheetml/2009/9/main" uri="{B025F937-C7B1-47D3-B67F-A62EFF666E3E}">
          <x14:id>{506D8C2A-4A22-4632-8FF8-F725B86C40F7}</x14:id>
        </ext>
      </extLst>
    </cfRule>
  </conditionalFormatting>
  <conditionalFormatting sqref="H19:H30">
    <cfRule type="dataBar" priority="34">
      <dataBar>
        <cfvo type="min"/>
        <cfvo type="max"/>
        <color theme="9" tint="0.59999389629810485"/>
      </dataBar>
      <extLst>
        <ext xmlns:x14="http://schemas.microsoft.com/office/spreadsheetml/2009/9/main" uri="{B025F937-C7B1-47D3-B67F-A62EFF666E3E}">
          <x14:id>{1A4F42F6-F207-4AB3-913C-5838D56CDB35}</x14:id>
        </ext>
      </extLst>
    </cfRule>
  </conditionalFormatting>
  <conditionalFormatting sqref="I6:I17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6:J17">
    <cfRule type="containsText" dxfId="16" priority="8" operator="containsText" text="Netzladung">
      <formula>NOT(ISERROR(SEARCH("Netzladung",J6)))</formula>
    </cfRule>
    <cfRule type="colorScale" priority="9">
      <colorScale>
        <cfvo type="min"/>
        <cfvo type="max"/>
        <color rgb="FF63BE7B"/>
        <color theme="5" tint="0.39997558519241921"/>
      </colorScale>
    </cfRule>
  </conditionalFormatting>
  <conditionalFormatting sqref="K6:K17">
    <cfRule type="dataBar" priority="20">
      <dataBar>
        <cfvo type="num" val="0"/>
        <cfvo type="num" val="1"/>
        <color rgb="FF63C384"/>
      </dataBar>
      <extLst>
        <ext xmlns:x14="http://schemas.microsoft.com/office/spreadsheetml/2009/9/main" uri="{B025F937-C7B1-47D3-B67F-A62EFF666E3E}">
          <x14:id>{8AA5CCF0-E7BF-4C17-B456-72FD1C0BD08E}</x14:id>
        </ext>
      </extLst>
    </cfRule>
  </conditionalFormatting>
  <conditionalFormatting sqref="K19:K30">
    <cfRule type="dataBar" priority="3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{5015B57C-7D80-49BB-B7B7-1C920E03E969}</x14:id>
        </ext>
      </extLst>
    </cfRule>
  </conditionalFormatting>
  <conditionalFormatting sqref="L6:L17">
    <cfRule type="dataBar" priority="18">
      <dataBar>
        <cfvo type="min"/>
        <cfvo type="max"/>
        <color rgb="FFEF75E0"/>
      </dataBar>
      <extLst>
        <ext xmlns:x14="http://schemas.microsoft.com/office/spreadsheetml/2009/9/main" uri="{B025F937-C7B1-47D3-B67F-A62EFF666E3E}">
          <x14:id>{58AF910F-62D4-4600-BFA7-4DE94F04459C}</x14:id>
        </ext>
      </extLst>
    </cfRule>
  </conditionalFormatting>
  <conditionalFormatting sqref="L19:L30">
    <cfRule type="dataBar" priority="37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{6E9BBC0F-C54F-43E6-BB33-B5977BDC7767}</x14:id>
        </ext>
      </extLst>
    </cfRule>
  </conditionalFormatting>
  <conditionalFormatting sqref="M6:M17">
    <cfRule type="dataBar" priority="15">
      <dataBar>
        <cfvo type="min"/>
        <cfvo type="max"/>
        <color rgb="FF00B0F0"/>
      </dataBar>
      <extLst>
        <ext xmlns:x14="http://schemas.microsoft.com/office/spreadsheetml/2009/9/main" uri="{B025F937-C7B1-47D3-B67F-A62EFF666E3E}">
          <x14:id>{729A207B-5BEC-455F-9C81-DCDAB75D2FEE}</x14:id>
        </ext>
      </extLst>
    </cfRule>
  </conditionalFormatting>
  <conditionalFormatting sqref="M19:M30">
    <cfRule type="dataBar" priority="3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{1D665A2A-74E4-451E-B20E-F806F4D92949}</x14:id>
        </ext>
      </extLst>
    </cfRule>
  </conditionalFormatting>
  <conditionalFormatting sqref="N6:N17">
    <cfRule type="dataBar" priority="14">
      <dataBar>
        <cfvo type="num" val="0"/>
        <cfvo type="num" val="1"/>
        <color rgb="FF0070C0"/>
      </dataBar>
      <extLst>
        <ext xmlns:x14="http://schemas.microsoft.com/office/spreadsheetml/2009/9/main" uri="{B025F937-C7B1-47D3-B67F-A62EFF666E3E}">
          <x14:id>{948E27C5-B416-4123-9E2A-9DCC59475A9B}</x14:id>
        </ext>
      </extLst>
    </cfRule>
  </conditionalFormatting>
  <conditionalFormatting sqref="N19:N29">
    <cfRule type="dataBar" priority="3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{0E067C65-A920-4C26-9A58-1962B48932F9}</x14:id>
        </ext>
      </extLst>
    </cfRule>
  </conditionalFormatting>
  <conditionalFormatting sqref="N19:N30">
    <cfRule type="dataBar" priority="3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{AB68B092-0898-4CCE-BFF2-A66D1C54022F}</x14:id>
        </ext>
      </extLst>
    </cfRule>
  </conditionalFormatting>
  <conditionalFormatting sqref="O6:O17">
    <cfRule type="dataBar" priority="13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{E6097FC2-B4C4-44E9-8378-AB36A6A68F7D}</x14:id>
        </ext>
      </extLst>
    </cfRule>
  </conditionalFormatting>
  <conditionalFormatting sqref="O19:O29">
    <cfRule type="dataBar" priority="3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{9EF59CAF-8750-4981-A2FE-E7FDAE9CE468}</x14:id>
        </ext>
      </extLst>
    </cfRule>
  </conditionalFormatting>
  <conditionalFormatting sqref="O19:O30">
    <cfRule type="dataBar" priority="3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{66B31682-69AA-448B-B1B4-12CD6AAA06E5}</x14:id>
        </ext>
      </extLst>
    </cfRule>
  </conditionalFormatting>
  <pageMargins left="0.25" right="0.25" top="0.75" bottom="0.75" header="0.3" footer="0.3"/>
  <pageSetup paperSize="8" scale="82" orientation="landscape" horizontalDpi="4294967293" verticalDpi="4294967293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0186C9C-0D84-4576-8670-217F1200439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C6:C17</xm:sqref>
        </x14:conditionalFormatting>
        <x14:conditionalFormatting xmlns:xm="http://schemas.microsoft.com/office/excel/2006/main">
          <x14:cfRule type="dataBar" id="{84B6D03D-675B-47C1-8E11-F1988397EC7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C19:C20</xm:sqref>
        </x14:conditionalFormatting>
        <x14:conditionalFormatting xmlns:xm="http://schemas.microsoft.com/office/excel/2006/main">
          <x14:cfRule type="dataBar" id="{A22CFAF9-5521-4A95-814E-5DBCED6DF4B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D6:D17</xm:sqref>
        </x14:conditionalFormatting>
        <x14:conditionalFormatting xmlns:xm="http://schemas.microsoft.com/office/excel/2006/main">
          <x14:cfRule type="dataBar" id="{D3F434D1-44CC-471C-95A9-4728C8F4280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D19:D20</xm:sqref>
        </x14:conditionalFormatting>
        <x14:conditionalFormatting xmlns:xm="http://schemas.microsoft.com/office/excel/2006/main">
          <x14:cfRule type="dataBar" id="{4C8EA8AB-FBAA-483A-8395-8D3DEF873EC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E6:E17</xm:sqref>
        </x14:conditionalFormatting>
        <x14:conditionalFormatting xmlns:xm="http://schemas.microsoft.com/office/excel/2006/main">
          <x14:cfRule type="dataBar" id="{62CCBD9A-4FC7-46DC-AABB-74A5ED51222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E19:E20</xm:sqref>
        </x14:conditionalFormatting>
        <x14:conditionalFormatting xmlns:xm="http://schemas.microsoft.com/office/excel/2006/main">
          <x14:cfRule type="dataBar" id="{CBD3E8A0-0663-4059-B62C-7A1E1EA06D3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F6:F17</xm:sqref>
        </x14:conditionalFormatting>
        <x14:conditionalFormatting xmlns:xm="http://schemas.microsoft.com/office/excel/2006/main">
          <x14:cfRule type="dataBar" id="{2C689C55-BBDF-44AA-86B1-671FF41CB74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F19:F20</xm:sqref>
        </x14:conditionalFormatting>
        <x14:conditionalFormatting xmlns:xm="http://schemas.microsoft.com/office/excel/2006/main">
          <x14:cfRule type="dataBar" id="{4DE1775A-7B6B-48CC-B538-884B4EE2B4B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G6:G17</xm:sqref>
        </x14:conditionalFormatting>
        <x14:conditionalFormatting xmlns:xm="http://schemas.microsoft.com/office/excel/2006/main">
          <x14:cfRule type="dataBar" id="{506D8C2A-4A22-4632-8FF8-F725B86C40F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H6:H17</xm:sqref>
        </x14:conditionalFormatting>
        <x14:conditionalFormatting xmlns:xm="http://schemas.microsoft.com/office/excel/2006/main">
          <x14:cfRule type="dataBar" id="{1A4F42F6-F207-4AB3-913C-5838D56CDB3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H19:H30</xm:sqref>
        </x14:conditionalFormatting>
        <x14:conditionalFormatting xmlns:xm="http://schemas.microsoft.com/office/excel/2006/main">
          <x14:cfRule type="dataBar" id="{8AA5CCF0-E7BF-4C17-B456-72FD1C0BD08E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K6:K17</xm:sqref>
        </x14:conditionalFormatting>
        <x14:conditionalFormatting xmlns:xm="http://schemas.microsoft.com/office/excel/2006/main">
          <x14:cfRule type="dataBar" id="{5015B57C-7D80-49BB-B7B7-1C920E03E96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K19:K30</xm:sqref>
        </x14:conditionalFormatting>
        <x14:conditionalFormatting xmlns:xm="http://schemas.microsoft.com/office/excel/2006/main">
          <x14:cfRule type="dataBar" id="{58AF910F-62D4-4600-BFA7-4DE94F04459C}">
            <x14:dataBar minLength="0" maxLength="100" border="1" gradient="0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L6:L17</xm:sqref>
        </x14:conditionalFormatting>
        <x14:conditionalFormatting xmlns:xm="http://schemas.microsoft.com/office/excel/2006/main">
          <x14:cfRule type="dataBar" id="{6E9BBC0F-C54F-43E6-BB33-B5977BDC7767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L19:L30</xm:sqref>
        </x14:conditionalFormatting>
        <x14:conditionalFormatting xmlns:xm="http://schemas.microsoft.com/office/excel/2006/main">
          <x14:cfRule type="dataBar" id="{729A207B-5BEC-455F-9C81-DCDAB75D2FEE}">
            <x14:dataBar minLength="0" maxLength="100" border="1" gradient="0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M6:M17</xm:sqref>
        </x14:conditionalFormatting>
        <x14:conditionalFormatting xmlns:xm="http://schemas.microsoft.com/office/excel/2006/main">
          <x14:cfRule type="dataBar" id="{1D665A2A-74E4-451E-B20E-F806F4D9294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M19:M30</xm:sqref>
        </x14:conditionalFormatting>
        <x14:conditionalFormatting xmlns:xm="http://schemas.microsoft.com/office/excel/2006/main">
          <x14:cfRule type="dataBar" id="{948E27C5-B416-4123-9E2A-9DCC59475A9B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N6:N17</xm:sqref>
        </x14:conditionalFormatting>
        <x14:conditionalFormatting xmlns:xm="http://schemas.microsoft.com/office/excel/2006/main">
          <x14:cfRule type="dataBar" id="{0E067C65-A920-4C26-9A58-1962B48932F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N19:N29</xm:sqref>
        </x14:conditionalFormatting>
        <x14:conditionalFormatting xmlns:xm="http://schemas.microsoft.com/office/excel/2006/main">
          <x14:cfRule type="dataBar" id="{AB68B092-0898-4CCE-BFF2-A66D1C54022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N19:N30</xm:sqref>
        </x14:conditionalFormatting>
        <x14:conditionalFormatting xmlns:xm="http://schemas.microsoft.com/office/excel/2006/main">
          <x14:cfRule type="dataBar" id="{E6097FC2-B4C4-44E9-8378-AB36A6A68F7D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O6:O17</xm:sqref>
        </x14:conditionalFormatting>
        <x14:conditionalFormatting xmlns:xm="http://schemas.microsoft.com/office/excel/2006/main">
          <x14:cfRule type="dataBar" id="{9EF59CAF-8750-4981-A2FE-E7FDAE9CE46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O19:O29</xm:sqref>
        </x14:conditionalFormatting>
        <x14:conditionalFormatting xmlns:xm="http://schemas.microsoft.com/office/excel/2006/main">
          <x14:cfRule type="dataBar" id="{66B31682-69AA-448B-B1B4-12CD6AAA06E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O19:O30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A4980-01D3-4B6B-B0D0-AE3133868AAD}">
  <sheetPr>
    <tabColor rgb="FFFFFF00"/>
  </sheetPr>
  <dimension ref="A1:K29"/>
  <sheetViews>
    <sheetView zoomScale="110" zoomScaleNormal="110" workbookViewId="0">
      <selection activeCell="B2" sqref="B2"/>
    </sheetView>
  </sheetViews>
  <sheetFormatPr baseColWidth="10" defaultRowHeight="15" x14ac:dyDescent="0.25"/>
  <cols>
    <col min="1" max="1" width="3.42578125" customWidth="1"/>
    <col min="3" max="3" width="16" customWidth="1"/>
    <col min="6" max="6" width="15.7109375" customWidth="1"/>
    <col min="9" max="9" width="10.5703125" customWidth="1"/>
  </cols>
  <sheetData>
    <row r="1" spans="1:11" ht="23.25" x14ac:dyDescent="0.35">
      <c r="A1" s="88"/>
      <c r="B1" s="89" t="str">
        <f>"PV-Ertrag Soll/Ist Kurzanalyse " &amp; Grunddaten!C15 &amp;", " &amp; Grunddaten!C4 &amp;", " &amp; Grunddaten!C5</f>
        <v>PV-Ertrag Soll/Ist Kurzanalyse 2023, Musterhausen, Muster-PV</v>
      </c>
      <c r="C1" s="90"/>
      <c r="D1" s="90"/>
      <c r="E1" s="90"/>
      <c r="F1" s="90"/>
      <c r="G1" s="90"/>
      <c r="H1" s="90"/>
      <c r="I1" s="90"/>
      <c r="J1" s="90"/>
      <c r="K1" s="90"/>
    </row>
    <row r="2" spans="1:11" ht="12" customHeight="1" x14ac:dyDescent="0.25">
      <c r="A2" s="88"/>
      <c r="B2" s="91" t="str">
        <f>Grunddaten!B2</f>
        <v>Excel-Tabelle von: Otter (photovoltaikforum.com)</v>
      </c>
      <c r="C2" s="90"/>
      <c r="D2" s="90"/>
      <c r="E2" s="90"/>
      <c r="F2" s="90"/>
      <c r="G2" s="90"/>
      <c r="H2" s="90"/>
      <c r="I2" s="90"/>
      <c r="J2" s="90"/>
      <c r="K2" s="90"/>
    </row>
    <row r="3" spans="1:11" x14ac:dyDescent="0.25">
      <c r="A3" s="88"/>
      <c r="B3" s="90"/>
      <c r="C3" s="90"/>
      <c r="D3" s="90"/>
      <c r="E3" s="90"/>
      <c r="F3" s="90"/>
      <c r="G3" s="90"/>
      <c r="H3" s="90"/>
      <c r="I3" s="90"/>
      <c r="J3" s="90"/>
      <c r="K3" s="90"/>
    </row>
    <row r="4" spans="1:11" x14ac:dyDescent="0.25">
      <c r="A4" s="94"/>
      <c r="B4" s="92"/>
      <c r="C4" s="168" t="str">
        <f>Grunddaten!C6 &amp; " kWp"</f>
        <v>29,93 kWp</v>
      </c>
      <c r="D4" s="169"/>
      <c r="E4" s="169"/>
      <c r="F4" s="169"/>
      <c r="G4" s="169"/>
      <c r="H4" s="169"/>
      <c r="I4" s="169"/>
      <c r="J4" s="170"/>
      <c r="K4" s="94"/>
    </row>
    <row r="5" spans="1:11" ht="30.75" customHeight="1" x14ac:dyDescent="0.25">
      <c r="A5" s="94"/>
      <c r="B5" s="93"/>
      <c r="C5" s="69" t="s">
        <v>37</v>
      </c>
      <c r="D5" s="42" t="s">
        <v>38</v>
      </c>
      <c r="E5" s="42" t="s">
        <v>39</v>
      </c>
      <c r="F5" s="43" t="s">
        <v>40</v>
      </c>
      <c r="G5" s="43" t="s">
        <v>41</v>
      </c>
      <c r="H5" s="43" t="s">
        <v>42</v>
      </c>
      <c r="I5" s="43" t="s">
        <v>43</v>
      </c>
      <c r="J5" s="43" t="s">
        <v>44</v>
      </c>
      <c r="K5" s="94"/>
    </row>
    <row r="6" spans="1:11" x14ac:dyDescent="0.25">
      <c r="A6" s="94"/>
      <c r="B6" s="70" t="s">
        <v>0</v>
      </c>
      <c r="C6" s="143">
        <v>1297</v>
      </c>
      <c r="D6" s="46">
        <f>(C6/Hilfstabelle!C3)</f>
        <v>41.838709677419352</v>
      </c>
      <c r="E6" s="44">
        <f>IF(C6="","",(C6/Grunddaten!$C$6)/Hilfstabelle!C3)</f>
        <v>1.3978853884871152</v>
      </c>
      <c r="F6" s="142">
        <f>IF(Dateneingabe!C6&lt;&gt;"",Dateneingabe!C6,"")</f>
        <v>149.66999999999999</v>
      </c>
      <c r="G6" s="46">
        <f>IF(F6="","",F6/Grunddaten!$C$6)</f>
        <v>5.0006682258603403</v>
      </c>
      <c r="H6" s="46">
        <f>IF(F6="","",F6/Hilfstabelle!C3)</f>
        <v>4.8280645161290314</v>
      </c>
      <c r="I6" s="44">
        <f>IF(F6="","",G6/Hilfstabelle!C3)</f>
        <v>0.16131187825355936</v>
      </c>
      <c r="J6" s="45">
        <f>IF(F6="","",F6/C6)</f>
        <v>0.1153970701619121</v>
      </c>
      <c r="K6" s="94"/>
    </row>
    <row r="7" spans="1:11" x14ac:dyDescent="0.25">
      <c r="A7" s="94"/>
      <c r="B7" s="71" t="s">
        <v>1</v>
      </c>
      <c r="C7" s="143">
        <v>1898</v>
      </c>
      <c r="D7" s="46">
        <f>(C7/Hilfstabelle!C4)</f>
        <v>67.785714285714292</v>
      </c>
      <c r="E7" s="44">
        <f>IF(C7="","",(C7/Grunddaten!$C$6)/Hilfstabelle!C4)</f>
        <v>2.264808362369338</v>
      </c>
      <c r="F7" s="142">
        <f>IF(Dateneingabe!C7&lt;&gt;"",Dateneingabe!C7,"")</f>
        <v>252.87</v>
      </c>
      <c r="G7" s="46">
        <f>IF(F7="","",F7/Grunddaten!$C$6)</f>
        <v>8.448713665218845</v>
      </c>
      <c r="H7" s="46">
        <f>IF(F7="","",F7/Hilfstabelle!C4)</f>
        <v>9.031071428571428</v>
      </c>
      <c r="I7" s="44">
        <f>IF(F7="","",G7/Hilfstabelle!C4)</f>
        <v>0.30173977375781591</v>
      </c>
      <c r="J7" s="45">
        <f t="shared" ref="J7:J17" si="0">IF(F7="","",F7/C7)</f>
        <v>0.13322971548998946</v>
      </c>
      <c r="K7" s="94"/>
    </row>
    <row r="8" spans="1:11" x14ac:dyDescent="0.25">
      <c r="A8" s="94"/>
      <c r="B8" s="71" t="s">
        <v>2</v>
      </c>
      <c r="C8" s="143">
        <v>3068</v>
      </c>
      <c r="D8" s="46">
        <f>(C8/Hilfstabelle!C5)</f>
        <v>98.967741935483872</v>
      </c>
      <c r="E8" s="44">
        <f>IF(C8="","",(C8/Grunddaten!$C$6)/Hilfstabelle!C5)</f>
        <v>3.306640225041225</v>
      </c>
      <c r="F8" s="142">
        <f>IF(Dateneingabe!C8&lt;&gt;"",Dateneingabe!C8,"")</f>
        <v>1296.8699999999999</v>
      </c>
      <c r="G8" s="46">
        <f>IF(F8="","",F8/Grunddaten!$C$6)</f>
        <v>43.330103575008351</v>
      </c>
      <c r="H8" s="46">
        <f>IF(F8="","",F8/Hilfstabelle!C5)</f>
        <v>41.834516129032252</v>
      </c>
      <c r="I8" s="44">
        <f>IF(F8="","",G8/Hilfstabelle!C5)</f>
        <v>1.3977452766131726</v>
      </c>
      <c r="J8" s="45">
        <f t="shared" si="0"/>
        <v>0.42270860495436763</v>
      </c>
      <c r="K8" s="94"/>
    </row>
    <row r="9" spans="1:11" x14ac:dyDescent="0.25">
      <c r="A9" s="94"/>
      <c r="B9" s="71" t="s">
        <v>3</v>
      </c>
      <c r="C9" s="143">
        <v>3373</v>
      </c>
      <c r="D9" s="46">
        <f>(C9/Hilfstabelle!C6)</f>
        <v>112.43333333333334</v>
      </c>
      <c r="E9" s="44">
        <f>IF(C9="","",(C9/Grunddaten!$C$6)/Hilfstabelle!C6)</f>
        <v>3.7565430448825037</v>
      </c>
      <c r="F9" s="142">
        <f>IF(Dateneingabe!C9&lt;&gt;"",Dateneingabe!C9,"")</f>
        <v>2626.15</v>
      </c>
      <c r="G9" s="46">
        <f>IF(F9="","",F9/Grunddaten!$C$6)</f>
        <v>87.74306715669897</v>
      </c>
      <c r="H9" s="46">
        <f>IF(F9="","",F9/Hilfstabelle!C6)</f>
        <v>87.538333333333341</v>
      </c>
      <c r="I9" s="44">
        <f>IF(F9="","",G9/Hilfstabelle!C6)</f>
        <v>2.9247689052232988</v>
      </c>
      <c r="J9" s="45">
        <f t="shared" si="0"/>
        <v>0.77857989919952564</v>
      </c>
      <c r="K9" s="94"/>
    </row>
    <row r="10" spans="1:11" x14ac:dyDescent="0.25">
      <c r="A10" s="94"/>
      <c r="B10" s="71" t="s">
        <v>4</v>
      </c>
      <c r="C10" s="143">
        <v>3676</v>
      </c>
      <c r="D10" s="46">
        <f>(C10/Hilfstabelle!C7)</f>
        <v>118.58064516129032</v>
      </c>
      <c r="E10" s="44">
        <f>IF(C10="","",(C10/Grunddaten!$C$6)/Hilfstabelle!C7)</f>
        <v>3.9619326816334888</v>
      </c>
      <c r="F10" s="142">
        <f>IF(Dateneingabe!C10&lt;&gt;"",Dateneingabe!C10,"")</f>
        <v>3760</v>
      </c>
      <c r="G10" s="46">
        <f>IF(F10="","",F10/Grunddaten!$C$6)</f>
        <v>125.6264617440695</v>
      </c>
      <c r="H10" s="46">
        <f>IF(F10="","",F10/Hilfstabelle!C7)</f>
        <v>121.29032258064517</v>
      </c>
      <c r="I10" s="44">
        <f>IF(F10="","",G10/Hilfstabelle!C7)</f>
        <v>4.0524665078732101</v>
      </c>
      <c r="J10" s="45">
        <f t="shared" si="0"/>
        <v>1.0228509249183895</v>
      </c>
      <c r="K10" s="94"/>
    </row>
    <row r="11" spans="1:11" x14ac:dyDescent="0.25">
      <c r="A11" s="94"/>
      <c r="B11" s="71" t="s">
        <v>5</v>
      </c>
      <c r="C11" s="143">
        <v>3606</v>
      </c>
      <c r="D11" s="46">
        <f>(C11/Hilfstabelle!C8)</f>
        <v>120.2</v>
      </c>
      <c r="E11" s="44">
        <f>IF(C11="","",(C11/Grunddaten!$C$6)/Hilfstabelle!C8)</f>
        <v>4.0160374206481793</v>
      </c>
      <c r="F11" s="142">
        <f>IF(Dateneingabe!C11&lt;&gt;"",Dateneingabe!C11,"")</f>
        <v>3652.23</v>
      </c>
      <c r="G11" s="46">
        <f>IF(F11="","",F11/Grunddaten!$C$6)</f>
        <v>122.02572669562312</v>
      </c>
      <c r="H11" s="46">
        <f>IF(F11="","",F11/Hilfstabelle!C8)</f>
        <v>121.741</v>
      </c>
      <c r="I11" s="44">
        <f>IF(F11="","",G11/Hilfstabelle!C8)</f>
        <v>4.0675242231874371</v>
      </c>
      <c r="J11" s="45">
        <f t="shared" si="0"/>
        <v>1.012820299500832</v>
      </c>
      <c r="K11" s="94"/>
    </row>
    <row r="12" spans="1:11" x14ac:dyDescent="0.25">
      <c r="A12" s="94"/>
      <c r="B12" s="71" t="s">
        <v>6</v>
      </c>
      <c r="C12" s="143">
        <v>3590</v>
      </c>
      <c r="D12" s="46">
        <f>(C12/Hilfstabelle!C9)</f>
        <v>115.80645161290323</v>
      </c>
      <c r="E12" s="44">
        <f>IF(C12="","",(C12/Grunddaten!$C$6)/Hilfstabelle!C9)</f>
        <v>3.869243288102346</v>
      </c>
      <c r="F12" s="142">
        <f>IF(Dateneingabe!C12&lt;&gt;"",Dateneingabe!C12,"")</f>
        <v>3373.83</v>
      </c>
      <c r="G12" s="46">
        <f>IF(F12="","",F12/Grunddaten!$C$6)</f>
        <v>112.72402271967925</v>
      </c>
      <c r="H12" s="46">
        <f>IF(F12="","",F12/Hilfstabelle!C9)</f>
        <v>108.83322580645161</v>
      </c>
      <c r="I12" s="44">
        <f>IF(F12="","",G12/Hilfstabelle!C9)</f>
        <v>3.6362587974090084</v>
      </c>
      <c r="J12" s="45">
        <f t="shared" si="0"/>
        <v>0.93978551532033427</v>
      </c>
      <c r="K12" s="94"/>
    </row>
    <row r="13" spans="1:11" x14ac:dyDescent="0.25">
      <c r="A13" s="94"/>
      <c r="B13" s="71" t="s">
        <v>7</v>
      </c>
      <c r="C13" s="143">
        <v>3317</v>
      </c>
      <c r="D13" s="46">
        <f>(C13/Hilfstabelle!C10)</f>
        <v>107</v>
      </c>
      <c r="E13" s="44">
        <f>IF(C13="","",(C13/Grunddaten!$C$6)/Hilfstabelle!C10)</f>
        <v>3.5750083528232546</v>
      </c>
      <c r="F13" s="142">
        <f>IF(Dateneingabe!C13&lt;&gt;"",Dateneingabe!C13,"")</f>
        <v>2712.3</v>
      </c>
      <c r="G13" s="46">
        <f>IF(F13="","",F13/Grunddaten!$C$6)</f>
        <v>90.621450050116948</v>
      </c>
      <c r="H13" s="46">
        <f>IF(F13="","",F13/Hilfstabelle!C10)</f>
        <v>87.49354838709678</v>
      </c>
      <c r="I13" s="44">
        <f>IF(F13="","",G13/Hilfstabelle!C10)</f>
        <v>2.9232725822618368</v>
      </c>
      <c r="J13" s="45">
        <f t="shared" si="0"/>
        <v>0.81769671389810072</v>
      </c>
      <c r="K13" s="94"/>
    </row>
    <row r="14" spans="1:11" x14ac:dyDescent="0.25">
      <c r="A14" s="94"/>
      <c r="B14" s="71" t="s">
        <v>8</v>
      </c>
      <c r="C14" s="143">
        <v>2748</v>
      </c>
      <c r="D14" s="46">
        <f>(C14/Hilfstabelle!C11)</f>
        <v>91.6</v>
      </c>
      <c r="E14" s="44">
        <f>IF(C14="","",(C14/Grunddaten!$C$6)/Hilfstabelle!C11)</f>
        <v>3.0604744403608422</v>
      </c>
      <c r="F14" s="142">
        <f>IF(Dateneingabe!C14&lt;&gt;"",Dateneingabe!C14,"")</f>
        <v>2934.44</v>
      </c>
      <c r="G14" s="46">
        <f>IF(F14="","",F14/Grunddaten!$C$6)</f>
        <v>98.043434680922161</v>
      </c>
      <c r="H14" s="46">
        <f>IF(F14="","",F14/Hilfstabelle!C11)</f>
        <v>97.814666666666668</v>
      </c>
      <c r="I14" s="44">
        <f>IF(F14="","",G14/Hilfstabelle!C11)</f>
        <v>3.2681144893640721</v>
      </c>
      <c r="J14" s="45">
        <f t="shared" si="0"/>
        <v>1.0678457059679767</v>
      </c>
      <c r="K14" s="94"/>
    </row>
    <row r="15" spans="1:11" x14ac:dyDescent="0.25">
      <c r="A15" s="94"/>
      <c r="B15" s="71" t="s">
        <v>9</v>
      </c>
      <c r="C15" s="143">
        <v>1969</v>
      </c>
      <c r="D15" s="46">
        <f>(C15/Hilfstabelle!C12)</f>
        <v>63.516129032258064</v>
      </c>
      <c r="E15" s="44">
        <f>IF(C15="","",(C15/Grunddaten!$C$6)/Hilfstabelle!C12)</f>
        <v>2.1221559984048803</v>
      </c>
      <c r="F15" s="142">
        <f>IF(Dateneingabe!C15&lt;&gt;"",Dateneingabe!C15,"")</f>
        <v>1252.77</v>
      </c>
      <c r="G15" s="46">
        <f>IF(F15="","",F15/Grunddaten!$C$6)</f>
        <v>41.856665552956898</v>
      </c>
      <c r="H15" s="46">
        <f>IF(F15="","",F15/Hilfstabelle!C12)</f>
        <v>40.41193548387097</v>
      </c>
      <c r="I15" s="44">
        <f>IF(F15="","",G15/Hilfstabelle!C12)</f>
        <v>1.3502150178373193</v>
      </c>
      <c r="J15" s="45">
        <f t="shared" si="0"/>
        <v>0.63624682579989844</v>
      </c>
      <c r="K15" s="94"/>
    </row>
    <row r="16" spans="1:11" x14ac:dyDescent="0.25">
      <c r="A16" s="94"/>
      <c r="B16" s="71" t="s">
        <v>10</v>
      </c>
      <c r="C16" s="143">
        <v>1168</v>
      </c>
      <c r="D16" s="46">
        <f>(C16/Hilfstabelle!C13)</f>
        <v>38.93333333333333</v>
      </c>
      <c r="E16" s="44">
        <f>IF(C16="","",(C16/Grunddaten!$C$6)/Hilfstabelle!C13)</f>
        <v>1.3008130081300813</v>
      </c>
      <c r="F16" s="142">
        <f>IF(Dateneingabe!C16&lt;&gt;"",Dateneingabe!C16,"")</f>
        <v>534.14</v>
      </c>
      <c r="G16" s="46">
        <f>IF(F16="","",F16/Grunddaten!$C$6)</f>
        <v>17.846308052121618</v>
      </c>
      <c r="H16" s="46">
        <f>IF(F16="","",F16/Hilfstabelle!C13)</f>
        <v>17.804666666666666</v>
      </c>
      <c r="I16" s="44">
        <f>IF(F16="","",G16/Hilfstabelle!C13)</f>
        <v>0.59487693507072059</v>
      </c>
      <c r="J16" s="45">
        <f t="shared" si="0"/>
        <v>0.4573116438356164</v>
      </c>
      <c r="K16" s="94"/>
    </row>
    <row r="17" spans="1:11" x14ac:dyDescent="0.25">
      <c r="A17" s="94"/>
      <c r="B17" s="71" t="s">
        <v>11</v>
      </c>
      <c r="C17" s="143">
        <v>881</v>
      </c>
      <c r="D17" s="46">
        <f>(C17/Hilfstabelle!C14)</f>
        <v>28.419354838709676</v>
      </c>
      <c r="E17" s="44">
        <f>IF(C17="","",(C17/Grunddaten!$C$6)/Hilfstabelle!C14)</f>
        <v>0.94952739187135582</v>
      </c>
      <c r="F17" s="142"/>
      <c r="G17" s="46" t="str">
        <f>IF(F17="","",F17/Grunddaten!$C$6)</f>
        <v/>
      </c>
      <c r="H17" s="46" t="str">
        <f>IF(F17="","",F17/Hilfstabelle!C14)</f>
        <v/>
      </c>
      <c r="I17" s="44" t="str">
        <f>IF(F17="","",G17/Hilfstabelle!C14)</f>
        <v/>
      </c>
      <c r="J17" s="45" t="str">
        <f t="shared" si="0"/>
        <v/>
      </c>
      <c r="K17" s="94"/>
    </row>
    <row r="18" spans="1:11" x14ac:dyDescent="0.25">
      <c r="A18" s="94"/>
      <c r="B18" s="95"/>
      <c r="C18" s="96"/>
      <c r="D18" s="97"/>
      <c r="E18" s="97"/>
      <c r="F18" s="97"/>
      <c r="G18" s="98"/>
      <c r="H18" s="98"/>
      <c r="I18" s="98"/>
      <c r="J18" s="99"/>
      <c r="K18" s="94"/>
    </row>
    <row r="19" spans="1:11" ht="46.5" customHeight="1" x14ac:dyDescent="0.25">
      <c r="A19" s="94"/>
      <c r="B19" s="100"/>
      <c r="C19" s="72" t="s">
        <v>64</v>
      </c>
      <c r="D19" s="73" t="s">
        <v>65</v>
      </c>
      <c r="E19" s="73" t="s">
        <v>66</v>
      </c>
      <c r="F19" s="74" t="s">
        <v>67</v>
      </c>
      <c r="G19" s="76" t="s">
        <v>68</v>
      </c>
      <c r="H19" s="76" t="s">
        <v>69</v>
      </c>
      <c r="I19" s="76" t="s">
        <v>70</v>
      </c>
      <c r="J19" s="74" t="s">
        <v>71</v>
      </c>
      <c r="K19" s="94"/>
    </row>
    <row r="20" spans="1:11" x14ac:dyDescent="0.25">
      <c r="A20" s="94"/>
      <c r="B20" s="75">
        <f>Grunddaten!C15</f>
        <v>2023</v>
      </c>
      <c r="C20" s="86">
        <f>SUM(C6:C17)</f>
        <v>30591</v>
      </c>
      <c r="D20" s="85">
        <f>(SUM(D6:D17)/COUNT(D6:D17))</f>
        <v>83.756784434203794</v>
      </c>
      <c r="E20" s="85">
        <f>(SUM(E6:E17)/COUNT(E6:E17))</f>
        <v>2.7984224668962177</v>
      </c>
      <c r="F20" s="85">
        <f>SUM(F6:F17)</f>
        <v>22545.269999999997</v>
      </c>
      <c r="G20" s="87">
        <f>(SUM(G6:G17)/COUNT(G6:G17))</f>
        <v>68.478783828934183</v>
      </c>
      <c r="H20" s="87">
        <f t="shared" ref="H20:J20" si="1">(SUM(H6:H17)/COUNT(H6:H17))</f>
        <v>67.147395545314893</v>
      </c>
      <c r="I20" s="87">
        <f t="shared" si="1"/>
        <v>2.2434813078955869</v>
      </c>
      <c r="J20" s="45">
        <f t="shared" si="1"/>
        <v>0.6731339017315402</v>
      </c>
      <c r="K20" s="94"/>
    </row>
    <row r="21" spans="1:11" x14ac:dyDescent="0.25">
      <c r="A21" s="90"/>
      <c r="B21" s="90"/>
      <c r="C21" s="90"/>
      <c r="D21" s="90"/>
      <c r="E21" s="90"/>
      <c r="F21" s="90"/>
      <c r="G21" s="90"/>
      <c r="H21" s="90"/>
      <c r="I21" s="90"/>
      <c r="J21" s="90"/>
      <c r="K21" s="90"/>
    </row>
    <row r="22" spans="1:11" x14ac:dyDescent="0.25">
      <c r="A22" s="90"/>
      <c r="B22" s="90"/>
      <c r="C22" s="90"/>
      <c r="D22" s="90"/>
      <c r="E22" s="90"/>
      <c r="F22" s="90"/>
      <c r="G22" s="90"/>
      <c r="H22" s="90"/>
      <c r="I22" s="90"/>
      <c r="J22" s="90"/>
      <c r="K22" s="90"/>
    </row>
    <row r="23" spans="1:11" x14ac:dyDescent="0.25">
      <c r="A23" s="90"/>
      <c r="B23" s="90"/>
      <c r="C23" s="90"/>
      <c r="D23" s="90"/>
      <c r="E23" s="90"/>
      <c r="F23" s="90"/>
      <c r="G23" s="90"/>
      <c r="H23" s="90"/>
      <c r="I23" s="90"/>
      <c r="J23" s="90"/>
      <c r="K23" s="90"/>
    </row>
    <row r="24" spans="1:11" x14ac:dyDescent="0.25">
      <c r="A24" s="90"/>
      <c r="B24" s="90"/>
      <c r="C24" s="90"/>
      <c r="D24" s="90"/>
      <c r="E24" s="90"/>
      <c r="F24" s="90"/>
      <c r="G24" s="90"/>
      <c r="H24" s="90"/>
      <c r="I24" s="90"/>
      <c r="J24" s="90"/>
      <c r="K24" s="90"/>
    </row>
    <row r="25" spans="1:11" x14ac:dyDescent="0.25">
      <c r="A25" s="90"/>
      <c r="B25" s="90"/>
      <c r="C25" s="90"/>
      <c r="D25" s="90"/>
      <c r="E25" s="90"/>
      <c r="F25" s="90"/>
      <c r="G25" s="90"/>
      <c r="H25" s="90"/>
      <c r="I25" s="90"/>
      <c r="J25" s="90"/>
      <c r="K25" s="90"/>
    </row>
    <row r="26" spans="1:11" x14ac:dyDescent="0.25">
      <c r="A26" s="90"/>
      <c r="B26" s="90"/>
      <c r="C26" s="90"/>
      <c r="D26" s="90"/>
      <c r="E26" s="90"/>
      <c r="F26" s="90"/>
      <c r="G26" s="90"/>
      <c r="H26" s="90"/>
      <c r="I26" s="90"/>
      <c r="J26" s="90"/>
      <c r="K26" s="90"/>
    </row>
    <row r="27" spans="1:11" x14ac:dyDescent="0.25">
      <c r="A27" s="94"/>
      <c r="B27" s="94"/>
      <c r="C27" s="94"/>
      <c r="D27" s="94"/>
      <c r="E27" s="94"/>
      <c r="F27" s="94"/>
      <c r="G27" s="94"/>
      <c r="H27" s="94"/>
      <c r="I27" s="94"/>
      <c r="J27" s="94"/>
      <c r="K27" s="94"/>
    </row>
    <row r="28" spans="1:11" x14ac:dyDescent="0.25">
      <c r="A28" s="94"/>
      <c r="B28" s="94"/>
      <c r="C28" s="94"/>
      <c r="D28" s="94"/>
      <c r="E28" s="94"/>
      <c r="F28" s="94"/>
      <c r="G28" s="94"/>
      <c r="H28" s="94"/>
      <c r="I28" s="94"/>
      <c r="J28" s="94"/>
      <c r="K28" s="94"/>
    </row>
    <row r="29" spans="1:11" x14ac:dyDescent="0.25">
      <c r="A29" s="94"/>
      <c r="B29" s="94"/>
      <c r="C29" s="94"/>
      <c r="D29" s="94"/>
      <c r="E29" s="94"/>
      <c r="F29" s="94"/>
      <c r="G29" s="94"/>
      <c r="H29" s="94"/>
      <c r="I29" s="94"/>
      <c r="J29" s="94"/>
      <c r="K29" s="94"/>
    </row>
  </sheetData>
  <mergeCells count="1">
    <mergeCell ref="C4:J4"/>
  </mergeCells>
  <phoneticPr fontId="2" type="noConversion"/>
  <conditionalFormatting sqref="C6:C17">
    <cfRule type="dataBar" priority="9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{7D4C9568-8778-417B-A063-A60D7C9C0477}</x14:id>
        </ext>
      </extLst>
    </cfRule>
  </conditionalFormatting>
  <conditionalFormatting sqref="F6:F17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{81B5EDAF-0A9D-4936-B84A-F6BA8975F81D}</x14:id>
        </ext>
      </extLst>
    </cfRule>
  </conditionalFormatting>
  <conditionalFormatting sqref="F20">
    <cfRule type="cellIs" dxfId="15" priority="2" operator="lessThan">
      <formula>$C$20-($C$20/20)</formula>
    </cfRule>
    <cfRule type="cellIs" dxfId="14" priority="3" operator="greaterThanOrEqual">
      <formula>$C$20</formula>
    </cfRule>
    <cfRule type="cellIs" dxfId="13" priority="4" operator="greaterThan">
      <formula>$C$20-($C$20/20)</formula>
    </cfRule>
  </conditionalFormatting>
  <conditionalFormatting sqref="J6:J17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6:J18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20">
    <cfRule type="cellIs" dxfId="12" priority="5" operator="lessThan">
      <formula>0.85</formula>
    </cfRule>
    <cfRule type="cellIs" dxfId="11" priority="6" operator="greaterThan">
      <formula>1</formula>
    </cfRule>
    <cfRule type="cellIs" dxfId="10" priority="7" operator="greaterThan">
      <formula>0.854</formula>
    </cfRule>
  </conditionalFormatting>
  <pageMargins left="0.7" right="0.7" top="0.78740157499999996" bottom="0.78740157499999996" header="0.3" footer="0.3"/>
  <pageSetup paperSize="9" orientation="landscape" horizontalDpi="4294967293" verticalDpi="4294967293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D4C9568-8778-417B-A063-A60D7C9C047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C6:C17</xm:sqref>
        </x14:conditionalFormatting>
        <x14:conditionalFormatting xmlns:xm="http://schemas.microsoft.com/office/excel/2006/main">
          <x14:cfRule type="dataBar" id="{81B5EDAF-0A9D-4936-B84A-F6BA8975F81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F6:F17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5AB70-6E9A-4548-8B87-2CDE6CE11FE9}">
  <sheetPr>
    <tabColor rgb="FFFFC000"/>
  </sheetPr>
  <dimension ref="A1:L46"/>
  <sheetViews>
    <sheetView zoomScale="110" zoomScaleNormal="110" workbookViewId="0">
      <selection activeCell="E24" sqref="E24"/>
    </sheetView>
  </sheetViews>
  <sheetFormatPr baseColWidth="10" defaultRowHeight="15" x14ac:dyDescent="0.25"/>
  <cols>
    <col min="1" max="1" width="4" customWidth="1"/>
    <col min="4" max="4" width="21.28515625" customWidth="1"/>
    <col min="5" max="5" width="19.42578125" customWidth="1"/>
    <col min="6" max="6" width="10.42578125" customWidth="1"/>
    <col min="10" max="10" width="23.28515625" customWidth="1"/>
  </cols>
  <sheetData>
    <row r="1" spans="1:10" ht="45" customHeight="1" x14ac:dyDescent="0.35">
      <c r="A1" s="94"/>
      <c r="B1" s="171" t="str">
        <f>"Kleine Wirtschaftlichkeitsauswertung " &amp; Grunddaten!C15 &amp;",                        " &amp; Grunddaten!C4 &amp;", " &amp; Grunddaten!C5</f>
        <v>Kleine Wirtschaftlichkeitsauswertung 2023,                        Musterhausen, Muster-PV</v>
      </c>
      <c r="C1" s="171"/>
      <c r="D1" s="171"/>
      <c r="E1" s="171"/>
      <c r="F1" s="171"/>
      <c r="G1" s="94"/>
    </row>
    <row r="2" spans="1:10" x14ac:dyDescent="0.25">
      <c r="A2" s="94"/>
      <c r="B2" s="102" t="str">
        <f>Grunddaten!B2</f>
        <v>Excel-Tabelle von: Otter (photovoltaikforum.com)</v>
      </c>
      <c r="C2" s="94"/>
      <c r="D2" s="94"/>
      <c r="E2" s="94"/>
      <c r="F2" s="94"/>
      <c r="G2" s="94"/>
    </row>
    <row r="3" spans="1:10" x14ac:dyDescent="0.25">
      <c r="A3" s="94"/>
      <c r="B3" s="94"/>
      <c r="C3" s="94"/>
      <c r="D3" s="94"/>
      <c r="E3" s="94"/>
      <c r="F3" s="94"/>
      <c r="G3" s="94"/>
    </row>
    <row r="4" spans="1:10" ht="18.75" customHeight="1" x14ac:dyDescent="0.3">
      <c r="A4" s="94"/>
      <c r="B4" s="182" t="str">
        <f>"Gesamtanlage " &amp; Grunddaten!C6 &amp; " kWp (inkl. Batterie " &amp; Grunddaten!C10 &amp; " kWh) auf " &amp; Grunddaten!C20 &amp; " Jahre"</f>
        <v>Gesamtanlage 29,93 kWp (inkl. Batterie 15 kWh) auf 25 Jahre</v>
      </c>
      <c r="C4" s="183"/>
      <c r="D4" s="183"/>
      <c r="E4" s="183"/>
      <c r="F4" s="184"/>
      <c r="G4" s="105"/>
      <c r="H4" s="1"/>
    </row>
    <row r="5" spans="1:10" x14ac:dyDescent="0.25">
      <c r="A5" s="94"/>
      <c r="B5" s="29" t="s">
        <v>36</v>
      </c>
      <c r="C5" s="30"/>
      <c r="D5" s="31"/>
      <c r="E5" s="39">
        <f>Grunddaten!C17</f>
        <v>7.4700000000000003E-2</v>
      </c>
      <c r="F5" s="152" t="s">
        <v>60</v>
      </c>
      <c r="G5" s="105"/>
      <c r="H5" s="101"/>
      <c r="I5" s="101"/>
      <c r="J5" s="101"/>
    </row>
    <row r="6" spans="1:10" x14ac:dyDescent="0.25">
      <c r="A6" s="94"/>
      <c r="B6" s="29" t="s">
        <v>35</v>
      </c>
      <c r="C6" s="30"/>
      <c r="D6" s="31"/>
      <c r="E6" s="39">
        <f>Grunddaten!C16</f>
        <v>0.4</v>
      </c>
      <c r="F6" s="152" t="s">
        <v>60</v>
      </c>
      <c r="G6" s="105"/>
      <c r="H6" s="101"/>
      <c r="I6" s="101"/>
      <c r="J6" s="101"/>
    </row>
    <row r="7" spans="1:10" x14ac:dyDescent="0.25">
      <c r="A7" s="94"/>
      <c r="B7" s="29" t="s">
        <v>34</v>
      </c>
      <c r="C7" s="30"/>
      <c r="D7" s="31"/>
      <c r="E7" s="32">
        <f>Grunddaten!C8</f>
        <v>47000</v>
      </c>
      <c r="F7" s="153" t="s">
        <v>88</v>
      </c>
      <c r="G7" s="94"/>
    </row>
    <row r="8" spans="1:10" x14ac:dyDescent="0.25">
      <c r="A8" s="94"/>
      <c r="B8" s="29" t="s">
        <v>78</v>
      </c>
      <c r="C8" s="30"/>
      <c r="D8" s="31"/>
      <c r="E8" s="32">
        <f>(Grunddaten!C8*Grunddaten!C19)*Grunddaten!C20</f>
        <v>9400</v>
      </c>
      <c r="F8" s="154"/>
      <c r="G8" s="94"/>
    </row>
    <row r="9" spans="1:10" x14ac:dyDescent="0.25">
      <c r="A9" s="94"/>
      <c r="B9" s="29" t="s">
        <v>13</v>
      </c>
      <c r="C9" s="30"/>
      <c r="D9" s="31"/>
      <c r="E9" s="40">
        <f>Grunddaten!C18</f>
        <v>0</v>
      </c>
      <c r="F9" s="155"/>
      <c r="G9" s="94"/>
    </row>
    <row r="10" spans="1:10" x14ac:dyDescent="0.25">
      <c r="A10" s="94"/>
      <c r="B10" s="29" t="s">
        <v>14</v>
      </c>
      <c r="C10" s="30"/>
      <c r="D10" s="31"/>
      <c r="E10" s="32">
        <f>E8+Grunddaten!C8-Grunddaten!C18</f>
        <v>56400</v>
      </c>
      <c r="F10" s="154"/>
      <c r="G10" s="94"/>
    </row>
    <row r="11" spans="1:10" x14ac:dyDescent="0.25">
      <c r="A11" s="94"/>
      <c r="B11" s="176" t="s">
        <v>72</v>
      </c>
      <c r="C11" s="177"/>
      <c r="D11" s="178"/>
      <c r="E11" s="32">
        <f>E10/Grunddaten!C20</f>
        <v>2256</v>
      </c>
      <c r="F11" s="154" t="s">
        <v>73</v>
      </c>
      <c r="G11" s="94"/>
    </row>
    <row r="12" spans="1:10" x14ac:dyDescent="0.25">
      <c r="A12" s="94"/>
      <c r="B12" s="78" t="s">
        <v>74</v>
      </c>
      <c r="C12" s="30"/>
      <c r="D12" s="31"/>
      <c r="E12" s="32">
        <f>Dateneingabe!F34</f>
        <v>2646.5685900000003</v>
      </c>
      <c r="F12" s="154" t="s">
        <v>73</v>
      </c>
      <c r="G12" s="94"/>
    </row>
    <row r="13" spans="1:10" x14ac:dyDescent="0.25">
      <c r="A13" s="94"/>
      <c r="B13" s="81" t="s">
        <v>75</v>
      </c>
      <c r="C13" s="30"/>
      <c r="D13" s="31"/>
      <c r="E13" s="33">
        <f>(E10/Grunddaten!C20)/E10</f>
        <v>0.04</v>
      </c>
      <c r="F13" s="154" t="s">
        <v>73</v>
      </c>
      <c r="G13" s="94"/>
    </row>
    <row r="14" spans="1:10" x14ac:dyDescent="0.25">
      <c r="A14" s="94"/>
      <c r="B14" s="179" t="s">
        <v>76</v>
      </c>
      <c r="C14" s="180"/>
      <c r="D14" s="181"/>
      <c r="E14" s="33">
        <f>Dateneingabe!F34/E10</f>
        <v>4.6924975000000008E-2</v>
      </c>
      <c r="F14" s="154" t="s">
        <v>73</v>
      </c>
      <c r="G14" s="94"/>
    </row>
    <row r="15" spans="1:10" x14ac:dyDescent="0.25">
      <c r="A15" s="94"/>
      <c r="B15" s="94"/>
      <c r="C15" s="94"/>
      <c r="D15" s="94"/>
      <c r="E15" s="94"/>
      <c r="F15" s="94"/>
      <c r="G15" s="94"/>
    </row>
    <row r="16" spans="1:10" ht="18.75" x14ac:dyDescent="0.3">
      <c r="A16" s="94"/>
      <c r="B16" s="173" t="str">
        <f>"Batterie " &amp; Grunddaten!C10 &amp;  " kWh (solo) auf " &amp; Grunddaten!C13 &amp; " Jahre"</f>
        <v>Batterie 15 kWh (solo) auf 11 Jahre</v>
      </c>
      <c r="C16" s="174"/>
      <c r="D16" s="174"/>
      <c r="E16" s="174"/>
      <c r="F16" s="175"/>
      <c r="G16" s="94"/>
    </row>
    <row r="17" spans="1:12" x14ac:dyDescent="0.25">
      <c r="A17" s="94"/>
      <c r="B17" s="185" t="s">
        <v>18</v>
      </c>
      <c r="C17" s="185"/>
      <c r="D17" s="185"/>
      <c r="E17" s="36">
        <f>Grunddaten!C9</f>
        <v>7500</v>
      </c>
      <c r="F17" s="147" t="s">
        <v>88</v>
      </c>
      <c r="G17" s="104"/>
    </row>
    <row r="18" spans="1:12" x14ac:dyDescent="0.25">
      <c r="A18" s="94"/>
      <c r="B18" s="187" t="s">
        <v>82</v>
      </c>
      <c r="C18" s="188"/>
      <c r="D18" s="189"/>
      <c r="E18" s="36">
        <f>E17-E24</f>
        <v>6773.6701599999997</v>
      </c>
      <c r="F18" s="148"/>
      <c r="G18" s="94"/>
    </row>
    <row r="19" spans="1:12" x14ac:dyDescent="0.25">
      <c r="A19" s="94"/>
      <c r="B19" s="35" t="s">
        <v>83</v>
      </c>
      <c r="C19" s="35"/>
      <c r="D19" s="35"/>
      <c r="E19" s="37">
        <f>Grunddaten!C13</f>
        <v>11</v>
      </c>
      <c r="F19" s="149" t="s">
        <v>57</v>
      </c>
      <c r="G19" s="94"/>
    </row>
    <row r="20" spans="1:12" x14ac:dyDescent="0.25">
      <c r="A20" s="94"/>
      <c r="B20" s="185" t="str">
        <f>"Entladeenergie in kWh in " &amp; Grunddaten!C15</f>
        <v>Entladeenergie in kWh in 2023</v>
      </c>
      <c r="C20" s="185"/>
      <c r="D20" s="185"/>
      <c r="E20" s="38">
        <f>Dateneingabe!H18</f>
        <v>2232.7999999999997</v>
      </c>
      <c r="F20" s="150" t="s">
        <v>53</v>
      </c>
      <c r="G20" s="94"/>
    </row>
    <row r="21" spans="1:12" x14ac:dyDescent="0.25">
      <c r="A21" s="94"/>
      <c r="B21" s="35" t="s">
        <v>79</v>
      </c>
      <c r="C21" s="35"/>
      <c r="D21" s="35"/>
      <c r="E21" s="80">
        <f>(E23/Dateneingabe!H18)+Grunddaten!C17+(Dateneingabe!J18+2%)</f>
        <v>0.44066815262629772</v>
      </c>
      <c r="F21" s="149" t="s">
        <v>60</v>
      </c>
      <c r="G21" s="94"/>
    </row>
    <row r="22" spans="1:12" x14ac:dyDescent="0.25">
      <c r="A22" s="94"/>
      <c r="B22" s="35" t="s">
        <v>97</v>
      </c>
      <c r="C22" s="35"/>
      <c r="D22" s="35"/>
      <c r="E22" s="80">
        <f>(E23/Dateneingabe!H18)+(Dateneingabe!J18+2%)</f>
        <v>0.36596815262629773</v>
      </c>
      <c r="F22" s="149" t="s">
        <v>60</v>
      </c>
      <c r="G22" s="94"/>
    </row>
    <row r="23" spans="1:12" x14ac:dyDescent="0.25">
      <c r="A23" s="94"/>
      <c r="B23" s="185" t="s">
        <v>72</v>
      </c>
      <c r="C23" s="185"/>
      <c r="D23" s="185"/>
      <c r="E23" s="36">
        <f>Grunddaten!C9/Grunddaten!C13</f>
        <v>681.81818181818187</v>
      </c>
      <c r="F23" s="148" t="s">
        <v>73</v>
      </c>
      <c r="G23" s="103"/>
      <c r="H23" s="28"/>
    </row>
    <row r="24" spans="1:12" x14ac:dyDescent="0.25">
      <c r="A24" s="94"/>
      <c r="B24" s="186" t="s">
        <v>84</v>
      </c>
      <c r="C24" s="186"/>
      <c r="D24" s="186"/>
      <c r="E24" s="36">
        <f>(Dateneingabe!H18*Grunddaten!C16)-(Dateneingabe!H18*Grunddaten!C17)</f>
        <v>726.32983999999988</v>
      </c>
      <c r="F24" s="148" t="s">
        <v>73</v>
      </c>
      <c r="G24" s="94"/>
    </row>
    <row r="25" spans="1:12" x14ac:dyDescent="0.25">
      <c r="A25" s="94"/>
      <c r="B25" s="34" t="s">
        <v>75</v>
      </c>
      <c r="C25" s="34"/>
      <c r="D25" s="34"/>
      <c r="E25" s="4">
        <f>1/Grunddaten!C13</f>
        <v>9.0909090909090912E-2</v>
      </c>
      <c r="F25" s="148" t="s">
        <v>73</v>
      </c>
      <c r="G25" s="94"/>
      <c r="L25" s="41"/>
    </row>
    <row r="26" spans="1:12" x14ac:dyDescent="0.25">
      <c r="A26" s="94"/>
      <c r="B26" s="186" t="s">
        <v>86</v>
      </c>
      <c r="C26" s="186"/>
      <c r="D26" s="186"/>
      <c r="E26" s="4">
        <f>E24/Grunddaten!C9</f>
        <v>9.684397866666665E-2</v>
      </c>
      <c r="F26" s="151" t="s">
        <v>73</v>
      </c>
      <c r="G26" s="94"/>
      <c r="L26" s="41"/>
    </row>
    <row r="27" spans="1:12" x14ac:dyDescent="0.25">
      <c r="A27" s="94"/>
      <c r="B27" s="94"/>
      <c r="C27" s="94"/>
      <c r="D27" s="94"/>
      <c r="E27" s="94"/>
      <c r="F27" s="94"/>
      <c r="G27" s="94"/>
    </row>
    <row r="28" spans="1:12" x14ac:dyDescent="0.25">
      <c r="A28" s="94"/>
      <c r="B28" s="134" t="s">
        <v>77</v>
      </c>
      <c r="C28" s="134"/>
      <c r="D28" s="134"/>
      <c r="E28" s="134"/>
      <c r="F28" s="134"/>
      <c r="G28" s="94"/>
    </row>
    <row r="29" spans="1:12" x14ac:dyDescent="0.25">
      <c r="A29" s="94"/>
      <c r="B29" s="134" t="str">
        <f>"1) = (Anschaffungskosten PVges * " &amp; Grunddaten!C19*100 &amp; " % d. Anschaffungkosten) * Nutzungsdauer"</f>
        <v>1) = (Anschaffungskosten PVges * 0,8 % d. Anschaffungkosten) * Nutzungsdauer</v>
      </c>
      <c r="C29" s="134"/>
      <c r="D29" s="134"/>
      <c r="E29" s="134"/>
      <c r="F29" s="134"/>
      <c r="G29" s="94"/>
    </row>
    <row r="30" spans="1:12" ht="30.75" customHeight="1" x14ac:dyDescent="0.25">
      <c r="A30" s="94"/>
      <c r="B30" s="172" t="s">
        <v>80</v>
      </c>
      <c r="C30" s="172"/>
      <c r="D30" s="172"/>
      <c r="E30" s="172"/>
      <c r="F30" s="172"/>
      <c r="G30" s="94"/>
    </row>
    <row r="31" spans="1:12" x14ac:dyDescent="0.25">
      <c r="A31" s="94"/>
      <c r="B31" s="134" t="s">
        <v>81</v>
      </c>
      <c r="C31" s="134"/>
      <c r="D31" s="134"/>
      <c r="E31" s="134"/>
      <c r="F31" s="134"/>
      <c r="G31" s="94"/>
    </row>
    <row r="32" spans="1:12" x14ac:dyDescent="0.25">
      <c r="A32" s="94"/>
      <c r="B32" s="134" t="s">
        <v>85</v>
      </c>
      <c r="C32" s="134"/>
      <c r="D32" s="134"/>
      <c r="E32" s="134"/>
      <c r="F32" s="134"/>
      <c r="G32" s="94"/>
    </row>
    <row r="33" spans="1:7" x14ac:dyDescent="0.25">
      <c r="A33" s="94"/>
      <c r="B33" s="134" t="s">
        <v>87</v>
      </c>
      <c r="C33" s="134"/>
      <c r="D33" s="134"/>
      <c r="E33" s="134"/>
      <c r="F33" s="134"/>
      <c r="G33" s="94"/>
    </row>
    <row r="34" spans="1:7" x14ac:dyDescent="0.25">
      <c r="A34" s="94"/>
      <c r="B34" s="94"/>
      <c r="C34" s="94"/>
      <c r="D34" s="94"/>
      <c r="E34" s="94"/>
      <c r="F34" s="94"/>
      <c r="G34" s="94"/>
    </row>
    <row r="35" spans="1:7" x14ac:dyDescent="0.25">
      <c r="A35" s="94"/>
      <c r="B35" s="94"/>
      <c r="C35" s="94"/>
      <c r="D35" s="94"/>
      <c r="E35" s="94"/>
      <c r="F35" s="94"/>
      <c r="G35" s="94"/>
    </row>
    <row r="36" spans="1:7" x14ac:dyDescent="0.25">
      <c r="A36" s="94"/>
      <c r="B36" s="94"/>
      <c r="C36" s="94"/>
      <c r="D36" s="94"/>
      <c r="E36" s="94"/>
      <c r="F36" s="94"/>
      <c r="G36" s="94"/>
    </row>
    <row r="37" spans="1:7" x14ac:dyDescent="0.25">
      <c r="A37" s="94"/>
      <c r="B37" s="94"/>
      <c r="C37" s="94"/>
      <c r="D37" s="94"/>
      <c r="E37" s="94"/>
      <c r="F37" s="94"/>
      <c r="G37" s="94"/>
    </row>
    <row r="38" spans="1:7" x14ac:dyDescent="0.25">
      <c r="A38" s="94"/>
      <c r="B38" s="94"/>
      <c r="C38" s="94"/>
      <c r="D38" s="94"/>
      <c r="E38" s="94"/>
      <c r="F38" s="94"/>
      <c r="G38" s="94"/>
    </row>
    <row r="39" spans="1:7" x14ac:dyDescent="0.25">
      <c r="A39" s="94"/>
      <c r="B39" s="94"/>
      <c r="C39" s="94"/>
      <c r="D39" s="94"/>
      <c r="E39" s="94"/>
      <c r="F39" s="94"/>
      <c r="G39" s="94"/>
    </row>
    <row r="40" spans="1:7" x14ac:dyDescent="0.25">
      <c r="A40" s="94"/>
      <c r="B40" s="94"/>
      <c r="C40" s="94"/>
      <c r="D40" s="94"/>
      <c r="E40" s="94"/>
      <c r="F40" s="94"/>
      <c r="G40" s="94"/>
    </row>
    <row r="41" spans="1:7" x14ac:dyDescent="0.25">
      <c r="A41" s="94"/>
      <c r="B41" s="94"/>
      <c r="C41" s="94"/>
      <c r="D41" s="94"/>
      <c r="E41" s="94"/>
      <c r="F41" s="94"/>
      <c r="G41" s="94"/>
    </row>
    <row r="42" spans="1:7" x14ac:dyDescent="0.25">
      <c r="A42" s="94"/>
      <c r="B42" s="94"/>
      <c r="C42" s="94"/>
      <c r="D42" s="94"/>
      <c r="E42" s="94"/>
      <c r="F42" s="94"/>
      <c r="G42" s="94"/>
    </row>
    <row r="43" spans="1:7" x14ac:dyDescent="0.25">
      <c r="A43" s="94"/>
      <c r="B43" s="94"/>
      <c r="C43" s="94"/>
      <c r="D43" s="94"/>
      <c r="E43" s="94"/>
      <c r="F43" s="94"/>
      <c r="G43" s="94"/>
    </row>
    <row r="44" spans="1:7" x14ac:dyDescent="0.25">
      <c r="A44" s="94"/>
      <c r="B44" s="94"/>
      <c r="C44" s="94"/>
      <c r="D44" s="94"/>
      <c r="E44" s="94"/>
      <c r="F44" s="94"/>
      <c r="G44" s="94"/>
    </row>
    <row r="45" spans="1:7" x14ac:dyDescent="0.25">
      <c r="A45" s="94"/>
      <c r="B45" s="94"/>
      <c r="C45" s="94"/>
      <c r="D45" s="94"/>
      <c r="E45" s="94"/>
      <c r="F45" s="94"/>
      <c r="G45" s="94"/>
    </row>
    <row r="46" spans="1:7" x14ac:dyDescent="0.25">
      <c r="A46" s="94"/>
      <c r="B46" s="94"/>
      <c r="C46" s="94"/>
      <c r="D46" s="94"/>
      <c r="E46" s="94"/>
      <c r="F46" s="94"/>
      <c r="G46" s="94"/>
    </row>
  </sheetData>
  <mergeCells count="12">
    <mergeCell ref="B1:F1"/>
    <mergeCell ref="B30:F30"/>
    <mergeCell ref="B16:F16"/>
    <mergeCell ref="B11:D11"/>
    <mergeCell ref="B14:D14"/>
    <mergeCell ref="B4:F4"/>
    <mergeCell ref="B23:D23"/>
    <mergeCell ref="B24:D24"/>
    <mergeCell ref="B26:D26"/>
    <mergeCell ref="B20:D20"/>
    <mergeCell ref="B17:D17"/>
    <mergeCell ref="B18:D18"/>
  </mergeCells>
  <conditionalFormatting sqref="E12">
    <cfRule type="cellIs" dxfId="9" priority="9" operator="greaterThan">
      <formula>$E$11</formula>
    </cfRule>
    <cfRule type="cellIs" dxfId="8" priority="10" operator="lessThan">
      <formula>$E$11</formula>
    </cfRule>
  </conditionalFormatting>
  <conditionalFormatting sqref="E14">
    <cfRule type="cellIs" dxfId="7" priority="7" operator="greaterThan">
      <formula>$E$13</formula>
    </cfRule>
    <cfRule type="cellIs" dxfId="6" priority="8" operator="lessThan">
      <formula>$E$13</formula>
    </cfRule>
  </conditionalFormatting>
  <conditionalFormatting sqref="E21:E22">
    <cfRule type="cellIs" dxfId="5" priority="5" operator="greaterThan">
      <formula>$E$6</formula>
    </cfRule>
    <cfRule type="cellIs" dxfId="4" priority="6" operator="lessThan">
      <formula>$E$6</formula>
    </cfRule>
  </conditionalFormatting>
  <conditionalFormatting sqref="E24">
    <cfRule type="cellIs" dxfId="3" priority="13" operator="greaterThan">
      <formula>$E$23</formula>
    </cfRule>
    <cfRule type="cellIs" dxfId="2" priority="14" operator="lessThan">
      <formula>$E$23</formula>
    </cfRule>
  </conditionalFormatting>
  <conditionalFormatting sqref="E26">
    <cfRule type="cellIs" dxfId="1" priority="11" operator="greaterThan">
      <formula>$E$25</formula>
    </cfRule>
    <cfRule type="cellIs" dxfId="0" priority="12" operator="lessThan">
      <formula>$E$25</formula>
    </cfRule>
  </conditionalFormatting>
  <pageMargins left="0.25" right="0.25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6B93E-6648-4C57-A1F3-58ECEE9B7E49}">
  <sheetPr>
    <tabColor rgb="FF00B050"/>
  </sheetPr>
  <dimension ref="A1:P76"/>
  <sheetViews>
    <sheetView workbookViewId="0">
      <selection activeCell="S14" sqref="S14"/>
    </sheetView>
  </sheetViews>
  <sheetFormatPr baseColWidth="10" defaultRowHeight="15" x14ac:dyDescent="0.25"/>
  <cols>
    <col min="1" max="1" width="1.42578125" customWidth="1"/>
  </cols>
  <sheetData>
    <row r="1" spans="1:16" ht="23.25" x14ac:dyDescent="0.35">
      <c r="A1" s="12"/>
      <c r="B1" s="13" t="str">
        <f>"Auswertung " &amp; Grunddaten!C15 &amp;", " &amp; Grunddaten!C4 &amp;", " &amp; Grunddaten!C5</f>
        <v>Auswertung 2023, Musterhausen, Muster-PV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6" x14ac:dyDescent="0.25">
      <c r="A2" s="12"/>
      <c r="B2" s="79" t="str">
        <f>Grunddaten!B2</f>
        <v>Excel-Tabelle von: Otter (photovoltaikforum.com)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6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6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</row>
    <row r="8" spans="1:16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</row>
    <row r="9" spans="1:16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10" spans="1:16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</row>
    <row r="11" spans="1:16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</row>
    <row r="12" spans="1:16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</row>
    <row r="13" spans="1:16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</row>
    <row r="14" spans="1:16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</row>
    <row r="15" spans="1:16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</row>
    <row r="16" spans="1:16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</row>
    <row r="17" spans="1:16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</row>
    <row r="18" spans="1:16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</row>
    <row r="19" spans="1:16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</row>
    <row r="20" spans="1:16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</row>
    <row r="21" spans="1:16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</row>
    <row r="22" spans="1:16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</row>
    <row r="23" spans="1:16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</row>
    <row r="24" spans="1:16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</row>
    <row r="25" spans="1:16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</row>
    <row r="26" spans="1:16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</row>
    <row r="27" spans="1:16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</row>
    <row r="28" spans="1:16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</row>
    <row r="29" spans="1:16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</row>
    <row r="30" spans="1:16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</row>
    <row r="31" spans="1:16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</row>
    <row r="32" spans="1:16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</row>
    <row r="33" spans="1:16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</row>
    <row r="34" spans="1:16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</row>
    <row r="35" spans="1:16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</row>
    <row r="36" spans="1:16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</row>
    <row r="37" spans="1:16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</row>
    <row r="38" spans="1:16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</row>
    <row r="39" spans="1:16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</row>
    <row r="40" spans="1:16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</row>
    <row r="41" spans="1:16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</row>
    <row r="42" spans="1:16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</row>
    <row r="43" spans="1:16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</row>
    <row r="44" spans="1:16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</row>
    <row r="45" spans="1:16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</row>
    <row r="46" spans="1:16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</row>
    <row r="47" spans="1:16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</row>
    <row r="48" spans="1:16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</row>
    <row r="49" spans="1:16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</row>
    <row r="50" spans="1:16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</row>
    <row r="51" spans="1:16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</row>
    <row r="52" spans="1:16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</row>
    <row r="53" spans="1:16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</row>
    <row r="54" spans="1:16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</row>
    <row r="55" spans="1:16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</row>
    <row r="56" spans="1:16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</row>
    <row r="57" spans="1:16" x14ac:dyDescent="0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</row>
    <row r="58" spans="1:16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</row>
    <row r="59" spans="1:16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</row>
    <row r="60" spans="1:16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</row>
    <row r="61" spans="1:16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</row>
    <row r="62" spans="1:16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</row>
    <row r="63" spans="1:16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</row>
    <row r="64" spans="1:16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</row>
    <row r="65" spans="1:16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</row>
    <row r="66" spans="1:16" x14ac:dyDescent="0.2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</row>
    <row r="67" spans="1:16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</row>
    <row r="68" spans="1:16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</row>
    <row r="69" spans="1:16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</row>
    <row r="70" spans="1:16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</row>
    <row r="71" spans="1:16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</row>
    <row r="72" spans="1:16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</row>
    <row r="73" spans="1:16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</row>
    <row r="74" spans="1:16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</row>
    <row r="75" spans="1:16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</row>
    <row r="76" spans="1:16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</row>
  </sheetData>
  <pageMargins left="0.25" right="0.25" top="0.75" bottom="0.75" header="0.3" footer="0.3"/>
  <pageSetup paperSize="9" orientation="landscape" horizontalDpi="4294967293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0D0C3-FBB5-47D8-86C8-2537D594D188}">
  <dimension ref="A1:N43"/>
  <sheetViews>
    <sheetView workbookViewId="0">
      <selection activeCell="H11" sqref="H11"/>
    </sheetView>
  </sheetViews>
  <sheetFormatPr baseColWidth="10" defaultRowHeight="15" x14ac:dyDescent="0.25"/>
  <cols>
    <col min="1" max="1" width="3.42578125" customWidth="1"/>
    <col min="3" max="3" width="5.140625" bestFit="1" customWidth="1"/>
  </cols>
  <sheetData>
    <row r="1" spans="1:14" x14ac:dyDescent="0.25">
      <c r="A1" s="94"/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</row>
    <row r="2" spans="1:14" x14ac:dyDescent="0.25">
      <c r="A2" s="94"/>
      <c r="B2" s="157" t="s">
        <v>94</v>
      </c>
      <c r="C2" s="158" t="s">
        <v>95</v>
      </c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1:14" x14ac:dyDescent="0.25">
      <c r="A3" s="94"/>
      <c r="B3" s="159">
        <v>44927</v>
      </c>
      <c r="C3" s="160">
        <f>DAY(DATE(YEAR(Grunddaten!C$15),MONTH(B3)+1,1)-1)</f>
        <v>31</v>
      </c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</row>
    <row r="4" spans="1:14" x14ac:dyDescent="0.25">
      <c r="A4" s="94"/>
      <c r="B4" s="159">
        <v>44958</v>
      </c>
      <c r="C4" s="160">
        <f>DAY(DATE(YEAR(Grunddaten!C$15),MONTH(B4)+1,1)-1)</f>
        <v>28</v>
      </c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</row>
    <row r="5" spans="1:14" x14ac:dyDescent="0.25">
      <c r="A5" s="94"/>
      <c r="B5" s="159">
        <v>44986</v>
      </c>
      <c r="C5" s="160">
        <f>DAY(DATE(YEAR(Grunddaten!C$15),MONTH(B5)+1,1)-1)</f>
        <v>31</v>
      </c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</row>
    <row r="6" spans="1:14" x14ac:dyDescent="0.25">
      <c r="A6" s="94"/>
      <c r="B6" s="159">
        <v>45017</v>
      </c>
      <c r="C6" s="160">
        <f>DAY(DATE(YEAR(Grunddaten!C$15),MONTH(B6)+1,1)-1)</f>
        <v>30</v>
      </c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</row>
    <row r="7" spans="1:14" x14ac:dyDescent="0.25">
      <c r="A7" s="94"/>
      <c r="B7" s="159">
        <v>45047</v>
      </c>
      <c r="C7" s="160">
        <f>DAY(DATE(YEAR(Grunddaten!C$15),MONTH(B7)+1,1)-1)</f>
        <v>31</v>
      </c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</row>
    <row r="8" spans="1:14" x14ac:dyDescent="0.25">
      <c r="A8" s="94"/>
      <c r="B8" s="159">
        <v>45078</v>
      </c>
      <c r="C8" s="160">
        <f>DAY(DATE(YEAR(Grunddaten!C$15),MONTH(B8)+1,1)-1)</f>
        <v>30</v>
      </c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</row>
    <row r="9" spans="1:14" x14ac:dyDescent="0.25">
      <c r="A9" s="94"/>
      <c r="B9" s="159">
        <v>45108</v>
      </c>
      <c r="C9" s="160">
        <f>DAY(DATE(YEAR(Grunddaten!C$15),MONTH(B9)+1,1)-1)</f>
        <v>31</v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</row>
    <row r="10" spans="1:14" x14ac:dyDescent="0.25">
      <c r="A10" s="94"/>
      <c r="B10" s="159">
        <v>45139</v>
      </c>
      <c r="C10" s="160">
        <f>DAY(DATE(YEAR(Grunddaten!C$15),MONTH(B10)+1,1)-1)</f>
        <v>31</v>
      </c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</row>
    <row r="11" spans="1:14" x14ac:dyDescent="0.25">
      <c r="A11" s="94"/>
      <c r="B11" s="159">
        <v>45170</v>
      </c>
      <c r="C11" s="160">
        <f>DAY(DATE(YEAR(Grunddaten!C$15),MONTH(B11)+1,1)-1)</f>
        <v>30</v>
      </c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</row>
    <row r="12" spans="1:14" x14ac:dyDescent="0.25">
      <c r="A12" s="94"/>
      <c r="B12" s="159">
        <v>45200</v>
      </c>
      <c r="C12" s="160">
        <f>DAY(DATE(YEAR(Grunddaten!C$15),MONTH(B12)+1,1)-1)</f>
        <v>31</v>
      </c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</row>
    <row r="13" spans="1:14" x14ac:dyDescent="0.25">
      <c r="A13" s="94"/>
      <c r="B13" s="159">
        <v>45231</v>
      </c>
      <c r="C13" s="160">
        <f>DAY(DATE(YEAR(Grunddaten!C$15),MONTH(B13)+1,1)-1)</f>
        <v>30</v>
      </c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</row>
    <row r="14" spans="1:14" x14ac:dyDescent="0.25">
      <c r="A14" s="94"/>
      <c r="B14" s="159">
        <v>45261</v>
      </c>
      <c r="C14" s="160">
        <f>DAY(DATE(YEAR(Grunddaten!C$15),MONTH(B14)+1,1)-1)</f>
        <v>31</v>
      </c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</row>
    <row r="15" spans="1:14" x14ac:dyDescent="0.25">
      <c r="A15" s="94"/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</row>
    <row r="16" spans="1:14" x14ac:dyDescent="0.25">
      <c r="A16" s="94"/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</row>
    <row r="17" spans="1:14" x14ac:dyDescent="0.25">
      <c r="A17" s="94"/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</row>
    <row r="18" spans="1:14" x14ac:dyDescent="0.25">
      <c r="A18" s="94"/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</row>
    <row r="19" spans="1:14" x14ac:dyDescent="0.25">
      <c r="A19" s="94"/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</row>
    <row r="20" spans="1:14" x14ac:dyDescent="0.25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</row>
    <row r="21" spans="1:14" x14ac:dyDescent="0.25">
      <c r="A21" s="94"/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</row>
    <row r="22" spans="1:14" x14ac:dyDescent="0.25">
      <c r="A22" s="94"/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</row>
    <row r="23" spans="1:14" x14ac:dyDescent="0.25">
      <c r="A23" s="94"/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</row>
    <row r="24" spans="1:14" x14ac:dyDescent="0.25">
      <c r="A24" s="94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</row>
    <row r="25" spans="1:14" x14ac:dyDescent="0.25">
      <c r="A25" s="94"/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</row>
    <row r="26" spans="1:14" x14ac:dyDescent="0.25">
      <c r="A26" s="94"/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</row>
    <row r="27" spans="1:14" x14ac:dyDescent="0.25">
      <c r="A27" s="94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</row>
    <row r="28" spans="1:14" x14ac:dyDescent="0.25">
      <c r="A28" s="94"/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</row>
    <row r="29" spans="1:14" x14ac:dyDescent="0.25">
      <c r="A29" s="94"/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</row>
    <row r="30" spans="1:14" x14ac:dyDescent="0.25">
      <c r="A30" s="94"/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</row>
    <row r="31" spans="1:14" x14ac:dyDescent="0.25">
      <c r="A31" s="94"/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</row>
    <row r="32" spans="1:14" x14ac:dyDescent="0.25">
      <c r="A32" s="94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</row>
    <row r="33" spans="1:14" x14ac:dyDescent="0.25">
      <c r="A33" s="94"/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</row>
    <row r="34" spans="1:14" x14ac:dyDescent="0.25">
      <c r="A34" s="94"/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</row>
    <row r="35" spans="1:14" x14ac:dyDescent="0.25">
      <c r="A35" s="94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</row>
    <row r="36" spans="1:14" x14ac:dyDescent="0.25">
      <c r="A36" s="94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</row>
    <row r="37" spans="1:14" x14ac:dyDescent="0.25">
      <c r="A37" s="94"/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</row>
    <row r="38" spans="1:14" x14ac:dyDescent="0.25">
      <c r="A38" s="94"/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</row>
    <row r="39" spans="1:14" x14ac:dyDescent="0.25">
      <c r="A39" s="94"/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</row>
    <row r="40" spans="1:14" x14ac:dyDescent="0.25">
      <c r="A40" s="94"/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</row>
    <row r="41" spans="1:14" x14ac:dyDescent="0.25">
      <c r="A41" s="94"/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</row>
    <row r="42" spans="1:14" x14ac:dyDescent="0.25">
      <c r="A42" s="94"/>
      <c r="B42" s="94"/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</row>
    <row r="43" spans="1:14" x14ac:dyDescent="0.25">
      <c r="A43" s="94"/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</row>
  </sheetData>
  <phoneticPr fontId="2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Grunddaten</vt:lpstr>
      <vt:lpstr>Dateneingabe</vt:lpstr>
      <vt:lpstr>Soll-Ist</vt:lpstr>
      <vt:lpstr>Wirtschaftlichkeit</vt:lpstr>
      <vt:lpstr>Auswertung</vt:lpstr>
      <vt:lpstr>Hilfstabelle</vt:lpstr>
      <vt:lpstr>Auswertung!Druckbereich</vt:lpstr>
      <vt:lpstr>Dateneingabe!Druckbereich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Joachim Weisse</dc:creator>
  <cp:lastModifiedBy>Annett Weisse</cp:lastModifiedBy>
  <cp:lastPrinted>2023-12-05T20:35:04Z</cp:lastPrinted>
  <dcterms:created xsi:type="dcterms:W3CDTF">2023-04-08T16:48:30Z</dcterms:created>
  <dcterms:modified xsi:type="dcterms:W3CDTF">2023-12-06T08:52:42Z</dcterms:modified>
</cp:coreProperties>
</file>